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475" activeTab="0"/>
  </bookViews>
  <sheets>
    <sheet name="Estado de Situación Financiera " sheetId="1" r:id="rId1"/>
    <sheet name="Estado Rendimiento Financiero" sheetId="2" r:id="rId2"/>
    <sheet name="ECANP-Cambio Patrimonio" sheetId="3" r:id="rId3"/>
    <sheet name="Flujo de Efectivo" sheetId="4" r:id="rId4"/>
    <sheet name="Estado Comparativo" sheetId="5" r:id="rId5"/>
    <sheet name="Notas Estado de Situación" sheetId="6" r:id="rId6"/>
    <sheet name="Depreciación Acumulada" sheetId="7" r:id="rId7"/>
    <sheet name="Notas Estado de Resultados" sheetId="8" r:id="rId8"/>
    <sheet name="Relación de Ingresos 2021" sheetId="9" r:id="rId9"/>
    <sheet name="Nota a los Ingresos 2021 " sheetId="10" r:id="rId10"/>
    <sheet name="Relación de Cuentas Por Pagar" sheetId="11" r:id="rId11"/>
    <sheet name="Ajustes Años Anteriores" sheetId="12" r:id="rId12"/>
  </sheets>
  <externalReferences>
    <externalReference r:id="rId15"/>
    <externalReference r:id="rId16"/>
    <externalReference r:id="rId17"/>
    <externalReference r:id="rId18"/>
    <externalReference r:id="rId19"/>
    <externalReference r:id="rId20"/>
  </externalReferences>
  <definedNames>
    <definedName name="_xlnm.Print_Area" localSheetId="0">'Estado de Situación Financiera '!$A$1:$H$79</definedName>
    <definedName name="_xlnm.Print_Area" localSheetId="9">'Nota a los Ingresos 2021 '!$A$1:$U$29</definedName>
    <definedName name="_xlnm.Print_Area" localSheetId="7">'Notas Estado de Resultados'!$A$1:$N$361</definedName>
    <definedName name="_xlnm.Print_Area" localSheetId="5">'Notas Estado de Situación'!$A$1:$AM$677</definedName>
    <definedName name="_xlnm.Print_Area" localSheetId="8">'Relación de Ingresos 2021'!$A$1:$J$66</definedName>
    <definedName name="_xlnm.Print_Titles" localSheetId="6">'Depreciación Acumulada'!$1:$3</definedName>
    <definedName name="_xlnm.Print_Titles" localSheetId="7">'Notas Estado de Resultados'!$1:$7</definedName>
    <definedName name="_xlnm.Print_Titles" localSheetId="5">'Notas Estado de Situación'!$1:$8</definedName>
  </definedNames>
  <calcPr fullCalcOnLoad="1"/>
</workbook>
</file>

<file path=xl/comments5.xml><?xml version="1.0" encoding="utf-8"?>
<comments xmlns="http://schemas.openxmlformats.org/spreadsheetml/2006/main">
  <authors>
    <author>Yarenny Diroche Ramirez</author>
  </authors>
  <commentList>
    <comment ref="C30" authorId="0">
      <text>
        <r>
          <rPr>
            <b/>
            <sz val="9"/>
            <rFont val="Tahoma"/>
            <family val="2"/>
          </rPr>
          <t>Yarenny Diroche Ramirez ya que esta cuenta no esta contemplada la agrege para completar el monto aprob del pres.2021, de los cuales fue consumido un valor de RD$101,952
.00 RD$520,334,587,00</t>
        </r>
      </text>
    </comment>
  </commentList>
</comments>
</file>

<file path=xl/sharedStrings.xml><?xml version="1.0" encoding="utf-8"?>
<sst xmlns="http://schemas.openxmlformats.org/spreadsheetml/2006/main" count="1435" uniqueCount="1064">
  <si>
    <t>Materiales y Suministros</t>
  </si>
  <si>
    <t>OFICINA NACIONAL DE LA PROPIEDAD INDUSTRIAL</t>
  </si>
  <si>
    <t>Gastos Financieros</t>
  </si>
  <si>
    <t>Gastos de Depreciación</t>
  </si>
  <si>
    <t>Abanicos</t>
  </si>
  <si>
    <t>Camionetas</t>
  </si>
  <si>
    <t>Motores</t>
  </si>
  <si>
    <t>Escopetas</t>
  </si>
  <si>
    <t>Equipos de Comunicacion</t>
  </si>
  <si>
    <t>Equipos de Cocina</t>
  </si>
  <si>
    <t>Neveras O-Central</t>
  </si>
  <si>
    <t>Neveras O-Este</t>
  </si>
  <si>
    <t>Neveras O-Norte</t>
  </si>
  <si>
    <t>Microondas O-Central</t>
  </si>
  <si>
    <t>Microondas O-Norte</t>
  </si>
  <si>
    <t>Microondas O-Este</t>
  </si>
  <si>
    <t>Lavadoras</t>
  </si>
  <si>
    <t>Inversores O-Central</t>
  </si>
  <si>
    <t>Inversores O-Este</t>
  </si>
  <si>
    <t>Inversores O-Norte</t>
  </si>
  <si>
    <t>Obras de Arte</t>
  </si>
  <si>
    <t>Activos Diferidos</t>
  </si>
  <si>
    <t>Activos Intangibles</t>
  </si>
  <si>
    <t>Onapi Central</t>
  </si>
  <si>
    <t>Onapi Norte</t>
  </si>
  <si>
    <t>Onapi Este</t>
  </si>
  <si>
    <t>Menos:</t>
  </si>
  <si>
    <t>RELACION DEPRECIACION ACUMULADA</t>
  </si>
  <si>
    <t>MUEBLES Y ENSERES-DEPRECIACION ACUMULADA</t>
  </si>
  <si>
    <t>Muebles y Enseres</t>
  </si>
  <si>
    <t>Maquinas y Fax</t>
  </si>
  <si>
    <t>Fotocopiadoras</t>
  </si>
  <si>
    <t>Aires Acondicionados</t>
  </si>
  <si>
    <t>Máquinas y Sumadoras</t>
  </si>
  <si>
    <t>Equipo de Educación y Recreativo</t>
  </si>
  <si>
    <t>Otros Mobiliarios y Equipos Onapi S.C.</t>
  </si>
  <si>
    <t>Otras Depreciación Acumuladas Mob. Y Equipos</t>
  </si>
  <si>
    <t>Total Depreciación Muebles de Oficina S.C.</t>
  </si>
  <si>
    <t>Total Depreciación Muebles de Oficina Santiago</t>
  </si>
  <si>
    <t>Otros Mobiliarios y Equipos Onapi S.F.M.</t>
  </si>
  <si>
    <t>Total Depreciación Muebles de Oficina San Francisco de Macoris</t>
  </si>
  <si>
    <t>EQUIPO DE TRANSPORTE-DEPRECIACION ACUMULADA</t>
  </si>
  <si>
    <t>Jeepeta y Minibus</t>
  </si>
  <si>
    <t>Total Depreciación Equipos de Transporte</t>
  </si>
  <si>
    <t>EQUIPO DE COMPUTOS S.C.-DEPRECIACION ACUMULADA</t>
  </si>
  <si>
    <t>Servidores C.P.U.</t>
  </si>
  <si>
    <t>Impresoras</t>
  </si>
  <si>
    <t>Scanner</t>
  </si>
  <si>
    <t>Monitores</t>
  </si>
  <si>
    <t>Dep. Otros Mobiliarios Equipos  de Computos</t>
  </si>
  <si>
    <t>Total Depreciación Equipos de Computos S.C.</t>
  </si>
  <si>
    <t>EQUIPO DE COMPUTOS NORTE-DEPRECIACION ACUMULADA</t>
  </si>
  <si>
    <t>Total Depreciación Equipos de Computos Norte</t>
  </si>
  <si>
    <t>Dep. Otro Equipos de Computos</t>
  </si>
  <si>
    <t>Total Depreciación Equipos de Computos Oriental</t>
  </si>
  <si>
    <t>Total Depreciación Equipos de Computos S.F.M.</t>
  </si>
  <si>
    <t>EQUIPO DE SEGURIDAD-DEPRECIACION ACUMULADA</t>
  </si>
  <si>
    <t>Escopetas Onapi S.C.</t>
  </si>
  <si>
    <t>Dep. Otros Equipos de Seguridad</t>
  </si>
  <si>
    <t>Total Depreciación Equipos de Seguridad</t>
  </si>
  <si>
    <t>EQUIPO DE COMUNICACION-DEPRECIACION ACUMULADA</t>
  </si>
  <si>
    <t>Equipos de Comunicación</t>
  </si>
  <si>
    <t>Total Depreciación Equipos de Comunicación</t>
  </si>
  <si>
    <t>EQUIPO DE COCINA-DEPRECIACION ACUMULADA</t>
  </si>
  <si>
    <t>Neveras Onapi S.C.</t>
  </si>
  <si>
    <t>Neveras Onapi Oriental</t>
  </si>
  <si>
    <t>GENERADORES ELECTRICOS-DEPRECIACION ACUMULADA</t>
  </si>
  <si>
    <t>Inversores Onapi S.C.</t>
  </si>
  <si>
    <t>Inversores Onapi Oriental</t>
  </si>
  <si>
    <t>Inversores Onapi Santiago</t>
  </si>
  <si>
    <t>Total Depreciación Generadores Eléctricos</t>
  </si>
  <si>
    <t>MAQUINARIAS Y EQUIPOS -DEPRECIACION ACUMULADA</t>
  </si>
  <si>
    <t>Plantas Eléctricas Onapi Central</t>
  </si>
  <si>
    <t>Otras Depreciaciones Acum. Equipos Eléctricos</t>
  </si>
  <si>
    <t>Depreciación Acumulada Sistema de Tratamiento de Agua</t>
  </si>
  <si>
    <t>Total Depreciación Maquinarias y Equipos</t>
  </si>
  <si>
    <t>AMORTIZACION ACTIVOS INTANGIBLES</t>
  </si>
  <si>
    <t>Sistemas</t>
  </si>
  <si>
    <t>Programas de Computos</t>
  </si>
  <si>
    <t>Total Depreciación Activos Intangibles</t>
  </si>
  <si>
    <t xml:space="preserve">       Oficina Nacional de La Propiedad Industrial </t>
  </si>
  <si>
    <t xml:space="preserve">                      O N A P I</t>
  </si>
  <si>
    <t xml:space="preserve">                  Estado de Resultados </t>
  </si>
  <si>
    <t>Notas a los Estados Financieros</t>
  </si>
  <si>
    <t xml:space="preserve">         Valores en RD$</t>
  </si>
  <si>
    <t>Efectivo en Caja y Banco</t>
  </si>
  <si>
    <t>El balance de esta cuenta se compone de las siguientes partidas,</t>
  </si>
  <si>
    <t>Cajas</t>
  </si>
  <si>
    <t>Caja General</t>
  </si>
  <si>
    <t>Caja Chica Juridica</t>
  </si>
  <si>
    <t>Caja Chica US$</t>
  </si>
  <si>
    <t>Fondo para Celebraciones</t>
  </si>
  <si>
    <t>Fondo Operacional</t>
  </si>
  <si>
    <t>Fondo Fijo San Francisco de Macoris</t>
  </si>
  <si>
    <t>Sub-Total Cajas Chicas y Fondos</t>
  </si>
  <si>
    <t>Total en Cajas</t>
  </si>
  <si>
    <t>Banco de Reservas Cta. 010-241433-5</t>
  </si>
  <si>
    <t>*</t>
  </si>
  <si>
    <t>Banco de Reservas Cta. 010-250249-8</t>
  </si>
  <si>
    <t>Banco de Reservas Cta. 010-249554-8 Nominas</t>
  </si>
  <si>
    <t>Total de Efectivos en Bancos</t>
  </si>
  <si>
    <t>Total en Cajas  y Bancos</t>
  </si>
  <si>
    <t>Cuentas por Cobrar</t>
  </si>
  <si>
    <t>Esta Cuenta se presenta Así,</t>
  </si>
  <si>
    <t>Documentos Por Cobrar Funcionarios</t>
  </si>
  <si>
    <t>Cuentas Por Cobrar Funcionarios y Empleados</t>
  </si>
  <si>
    <t>Cuentas Por Cobrar Clientes</t>
  </si>
  <si>
    <t>Otras Cuentas Por Cobrar</t>
  </si>
  <si>
    <t>Reclamaciones a Ing. Dominga Acevedo</t>
  </si>
  <si>
    <t>**</t>
  </si>
  <si>
    <t>Reclamaciones a la DGII</t>
  </si>
  <si>
    <t>Total Cuentas por Cobrar</t>
  </si>
  <si>
    <t>Gastos Pagados por Anticipado</t>
  </si>
  <si>
    <t>Este Balance se Distribuye de la Forma siguiente,</t>
  </si>
  <si>
    <t>Seguro de Vehiculos</t>
  </si>
  <si>
    <t>Seguro Riesgos Generales</t>
  </si>
  <si>
    <t>Seguro de Fidelidad</t>
  </si>
  <si>
    <t>Deposito Alquiler Oficina San Francisco de Macoris</t>
  </si>
  <si>
    <t>Total gastos pagados por Anticipado</t>
  </si>
  <si>
    <t>Mobiliarios y Equipos de Oficina</t>
  </si>
  <si>
    <t xml:space="preserve">El balance de esta cuenta representa el valor histórico de cada activo, así como </t>
  </si>
  <si>
    <t>Maquinas y Faxes</t>
  </si>
  <si>
    <t>Equipo Educacional y Recreativo</t>
  </si>
  <si>
    <t>Otros Mobiliarios y Equipos de Oficina</t>
  </si>
  <si>
    <t>Depreciación Acumulada</t>
  </si>
  <si>
    <t>Sub-Total</t>
  </si>
  <si>
    <t>Onapi  San Francisco de Macoris</t>
  </si>
  <si>
    <t>Lavadora</t>
  </si>
  <si>
    <t>Otros Equipos de Cocina</t>
  </si>
  <si>
    <t>Total Mobiliarios y Equipos de Oficina Netos</t>
  </si>
  <si>
    <t>Equipos de Transporte</t>
  </si>
  <si>
    <t>Equipos de Computos</t>
  </si>
  <si>
    <t>Onapi-Central</t>
  </si>
  <si>
    <t>Servidores CPU</t>
  </si>
  <si>
    <t>Scaner</t>
  </si>
  <si>
    <t>Otros Equipos de Computos</t>
  </si>
  <si>
    <t>Onapi-Este</t>
  </si>
  <si>
    <t>Onapi-Norte</t>
  </si>
  <si>
    <t>Onapi-San Francisco de Macoris</t>
  </si>
  <si>
    <t>Total Equipos de Computos Netos</t>
  </si>
  <si>
    <t xml:space="preserve">Maquinarias y Equipos </t>
  </si>
  <si>
    <t>Equipos de Seguridad</t>
  </si>
  <si>
    <t>Otros Equipos de Seguridad</t>
  </si>
  <si>
    <t>Generadores Electricos</t>
  </si>
  <si>
    <t>Otros Generadores Eléctricos</t>
  </si>
  <si>
    <t>Plantas Electricas</t>
  </si>
  <si>
    <t>Sistema de pre-Tratamiento de agua</t>
  </si>
  <si>
    <t>Equipos Varios</t>
  </si>
  <si>
    <t>Total</t>
  </si>
  <si>
    <t>Total Maquinarias y Equipos Netos</t>
  </si>
  <si>
    <t xml:space="preserve">         Al 31 de Diciembre 2011</t>
  </si>
  <si>
    <t>Esta está compuesta de las siguientes partidas:</t>
  </si>
  <si>
    <t>Mejoras en Propiedades del Estado</t>
  </si>
  <si>
    <t>Amortización Acumulada</t>
  </si>
  <si>
    <t xml:space="preserve">para operar Sistemas Implementados en La Onapi, así como las compra de dichos </t>
  </si>
  <si>
    <t>Sistemas y su Implementación.</t>
  </si>
  <si>
    <t>Telefonos, Fax y Cable</t>
  </si>
  <si>
    <t>Licencias de Programas</t>
  </si>
  <si>
    <t>Sistema Great Plains</t>
  </si>
  <si>
    <t>Sistema Iso 9001-2000</t>
  </si>
  <si>
    <t>Sistema Atención Servicios al Cliente</t>
  </si>
  <si>
    <t>Sistema de Seguridad</t>
  </si>
  <si>
    <t>Sistema de Gestion de Contenido de Imagen</t>
  </si>
  <si>
    <t>Sistema de Consultoria Traslado Aplicación</t>
  </si>
  <si>
    <t>Sistema Filling Cabinet IS-PKM</t>
  </si>
  <si>
    <t>Politicas Normas Y Procedimientos</t>
  </si>
  <si>
    <t>Documentos por Pagar</t>
  </si>
  <si>
    <t xml:space="preserve">Este balance corresponde al compromiso contraido por La Onapi , mediante Contrato de Compra de un </t>
  </si>
  <si>
    <t>Edificará la Oficina de la región Norte, la cual opera en las Oficinas Gubernamentales de dicha Ciudad.</t>
  </si>
  <si>
    <t>Este Balance se Compone de las Siguientes Partidas:</t>
  </si>
  <si>
    <t>Certificación por Pagar Arq. Janet Martinez</t>
  </si>
  <si>
    <t>Certificación por Pagar Ing. David Vargas</t>
  </si>
  <si>
    <t>Certificación por Pagar Arq. Juana Lasose</t>
  </si>
  <si>
    <t>Cuentas por Pagar a Terceros</t>
  </si>
  <si>
    <t>Proveedores Internacionales</t>
  </si>
  <si>
    <t>Ayuda y/o Aporte Económico</t>
  </si>
  <si>
    <t>Sueldos Por Pagar Funcionarios y Empleados</t>
  </si>
  <si>
    <t>Notas de Creditos Clientes</t>
  </si>
  <si>
    <t>Nota:13</t>
  </si>
  <si>
    <t>Acumulaciones y Retenciones Por Pagar</t>
  </si>
  <si>
    <t>Este Balance se distribuye de la forma siguiente:</t>
  </si>
  <si>
    <t>Retenciones Impuesto sobre la Renta a Empleados</t>
  </si>
  <si>
    <t>Retenciones Ley 147- 3%/253-12 5%</t>
  </si>
  <si>
    <t>Retenciones Ley 557- 10%</t>
  </si>
  <si>
    <t>ITBIS</t>
  </si>
  <si>
    <t>Otros Impuestos a Pagar</t>
  </si>
  <si>
    <t>Inavi</t>
  </si>
  <si>
    <t>Programas</t>
  </si>
  <si>
    <t>Retenciones ITBIS 16%</t>
  </si>
  <si>
    <t>***</t>
  </si>
  <si>
    <t>Codia</t>
  </si>
  <si>
    <t>Aportes AFP</t>
  </si>
  <si>
    <t>Retenciones Por Pagar-Electrodomésticos</t>
  </si>
  <si>
    <t>Coop-Onapi</t>
  </si>
  <si>
    <t>COOPROGAL</t>
  </si>
  <si>
    <t>Seguro Médico</t>
  </si>
  <si>
    <t>Crédito Educativo</t>
  </si>
  <si>
    <t>Préstamos Funcionarios y Empleados</t>
  </si>
  <si>
    <t>*Incluye la suma de RD$3,129,432.41 ,correspondiente a pagos retenidos de Retenciones del años anteriores.</t>
  </si>
  <si>
    <t>RD$1,886,076.30 del año 2012.</t>
  </si>
  <si>
    <t>** El Monto correspondiente a los RD$3,682,180.45 corresponde Años anteriores,RD$601,380.80 año actual</t>
  </si>
  <si>
    <t>***El monto de RD$1,477,581.31 corresponde a montos retenidos a Suplidores correspondiente a ITBIS.</t>
  </si>
  <si>
    <t>Nota:15</t>
  </si>
  <si>
    <t>El Déficiti del año 2011, los Ingresos aumentaros por un valor de RD$32,986,817.71,representando  este monto,</t>
  </si>
  <si>
    <t>un aumento de un 17% en relación al año 2010.El 17% anterior  en detalle se debe a un aumento de un  8% en los</t>
  </si>
  <si>
    <t>Ingresos Corrientes,y un aumento de un 173% en los Ingresos recibidos de Otras Instituciones Públicas.</t>
  </si>
  <si>
    <t>Los Gastos en comparación al año 2010 reflejaron un  aumento de  RD$30,278,289.12,representando un aumento de 15%</t>
  </si>
  <si>
    <t>El Déficit del 2011 corresponde a un aumento de RD$14,908,418.45 en la partida de Sueldo(un 19% en relación al 2010),</t>
  </si>
  <si>
    <t xml:space="preserve">este aumento de sueldos provocó un aumento de 41% en las Contribuciones de Seguridad Social.Se suman en el incremento </t>
  </si>
  <si>
    <t>individuales de las partidas de gastos un aumento de un 81% en la Bonificaiones debido a la implantación del Bono de Navidad,</t>
  </si>
  <si>
    <t>aumento de un 30% electricidad,un aumento de 46% en medios de prensa,un aumento considerable en el Mantenimiento de Edificaciones,</t>
  </si>
  <si>
    <t>y productos de Papel Cartón.Todos estos aumentos de la partidas de Gastos suman en valores monetarios  RD$34,627,465.83.</t>
  </si>
  <si>
    <t>Nota:16</t>
  </si>
  <si>
    <t>Transferencias de Instituciones Públicas</t>
  </si>
  <si>
    <t>Esta  cuenta se usa para  representar las  partidas  entregadas por la Secretaría de Industría  y  Comercio</t>
  </si>
  <si>
    <t>(SEIC) a Onapi; así como los desembolsos hechos  por ONAPI a la SEIC, para de esa   forma hacer una</t>
  </si>
  <si>
    <t>evaluación de fondos  transferidos de  una Institución  a   otra. Y la misma se representa así:</t>
  </si>
  <si>
    <t>Período 2011</t>
  </si>
  <si>
    <t>Período 2010</t>
  </si>
  <si>
    <t>Período 2009</t>
  </si>
  <si>
    <t>Período 2008</t>
  </si>
  <si>
    <t>Período 2007</t>
  </si>
  <si>
    <t>Período 2006</t>
  </si>
  <si>
    <t>Período 2005</t>
  </si>
  <si>
    <t>Período 2004</t>
  </si>
  <si>
    <t>El comportamiento para el período 2011 fué el siguiente:</t>
  </si>
  <si>
    <t>Mes</t>
  </si>
  <si>
    <t xml:space="preserve">Transferidos por </t>
  </si>
  <si>
    <t>Dif /Transferida</t>
  </si>
  <si>
    <t xml:space="preserve">                 SEIC</t>
  </si>
  <si>
    <t xml:space="preserve">                 ONAPI</t>
  </si>
  <si>
    <t xml:space="preserve">                 por SEIC</t>
  </si>
  <si>
    <t>Enero</t>
  </si>
  <si>
    <t>Febrero</t>
  </si>
  <si>
    <t>Marzo</t>
  </si>
  <si>
    <t>Abril</t>
  </si>
  <si>
    <t>Mayo</t>
  </si>
  <si>
    <t>Junio</t>
  </si>
  <si>
    <t>Julio</t>
  </si>
  <si>
    <t>Agosto</t>
  </si>
  <si>
    <t>Septiembre</t>
  </si>
  <si>
    <t>Octubre</t>
  </si>
  <si>
    <t>Noviembre</t>
  </si>
  <si>
    <t>Diciembre</t>
  </si>
  <si>
    <t xml:space="preserve">         Al 31 de Diciembre 2013</t>
  </si>
  <si>
    <t>Cheques por Verificar</t>
  </si>
  <si>
    <t>Inventarios</t>
  </si>
  <si>
    <t>Inventario de Oficina</t>
  </si>
  <si>
    <t>Inventario de Toners</t>
  </si>
  <si>
    <t>Inventario Material de Limpieza</t>
  </si>
  <si>
    <t>Inventario de Alimentos y Bebidas para Humanos</t>
  </si>
  <si>
    <t>Inventario de Cocina</t>
  </si>
  <si>
    <t>Inventario Material Desechables</t>
  </si>
  <si>
    <t>Inventario Material Ferretero</t>
  </si>
  <si>
    <t>Inventario Misceláneo</t>
  </si>
  <si>
    <t>Total Inventarios de Almacén</t>
  </si>
  <si>
    <t>Otros Equipos de Cómputo</t>
  </si>
  <si>
    <t>Inversores O-San Francisco de Macoris</t>
  </si>
  <si>
    <t>Oficina Principal:</t>
  </si>
  <si>
    <t>Oficina Regional Este:</t>
  </si>
  <si>
    <t>Oficina Regional Norte:</t>
  </si>
  <si>
    <t>Oficina Regional San Francisco de Macoris:</t>
  </si>
  <si>
    <t>Otros Equipos de Cómputo Onapi Oriental</t>
  </si>
  <si>
    <t>Inversores Onapi San Francisco de Macoris</t>
  </si>
  <si>
    <t>Depósitos Afiliaciones Cardnet</t>
  </si>
  <si>
    <t>Depósitos Por Liquidar</t>
  </si>
  <si>
    <t>Tarjeta Shell Card</t>
  </si>
  <si>
    <t>Otras Cuentas Por Pagar</t>
  </si>
  <si>
    <t>Cuentas Por Pagar Clientes</t>
  </si>
  <si>
    <t>Retenciones 2%</t>
  </si>
  <si>
    <t>Retenciones ITBIS 18%</t>
  </si>
  <si>
    <t>Retenciones Ley 253-12  10%</t>
  </si>
  <si>
    <t>Fondo Menudo Regional Norte</t>
  </si>
  <si>
    <t>Reclamaciones Por Cobrar</t>
  </si>
  <si>
    <t>Cuentas Por Cobrar Proveedores</t>
  </si>
  <si>
    <t>Seguro de Averias de Maquinarias</t>
  </si>
  <si>
    <t>Abanicos S.F.M.</t>
  </si>
  <si>
    <t>Total Depreciación Muebles de Oficina  Regional Este</t>
  </si>
  <si>
    <t>Otros Mobiliarios y Equipos Onapi Santiago</t>
  </si>
  <si>
    <t>EQUIPO DE COMPUTOS S.F.M.-DEPRECIACION ACUMULADA</t>
  </si>
  <si>
    <t>Servicios Personales</t>
  </si>
  <si>
    <t>Sueldos Fijos</t>
  </si>
  <si>
    <t>Asesoría por Contrato</t>
  </si>
  <si>
    <t>Sueldos Personal Nóminal</t>
  </si>
  <si>
    <t>Suplencias</t>
  </si>
  <si>
    <t>Primas Por Antigüedad</t>
  </si>
  <si>
    <t>Compensación por gastos de Alimentacón</t>
  </si>
  <si>
    <t>Compensación Por Gastos Educativos</t>
  </si>
  <si>
    <t>Compensación por horas Extraordinarias</t>
  </si>
  <si>
    <t>Primas de Transporte</t>
  </si>
  <si>
    <t>Compensación por Servicios Prestados</t>
  </si>
  <si>
    <t>Compensación por Servicios de Seguridad</t>
  </si>
  <si>
    <t>Compensación Por Resultados</t>
  </si>
  <si>
    <t>Honorarios por Servicios Especiales</t>
  </si>
  <si>
    <t>Dietas en el Pais</t>
  </si>
  <si>
    <t>Gastos de Representación</t>
  </si>
  <si>
    <t>Regalia Pascual</t>
  </si>
  <si>
    <t>Bonificaciones</t>
  </si>
  <si>
    <t>Prestaciones Laborales</t>
  </si>
  <si>
    <t>Vacaciones</t>
  </si>
  <si>
    <t>Contribuciones al Seguro De Pensiones</t>
  </si>
  <si>
    <t>Riesgos Laborales</t>
  </si>
  <si>
    <t>Otras Bonificaciones y Gratificaciones</t>
  </si>
  <si>
    <t>Otros Servicios Personales</t>
  </si>
  <si>
    <t>Varios</t>
  </si>
  <si>
    <t>TOTAL</t>
  </si>
  <si>
    <t>Servicios no Personales</t>
  </si>
  <si>
    <t>Servicios Telefónicos a Larga Distancia</t>
  </si>
  <si>
    <t>Radio Comunicaciones</t>
  </si>
  <si>
    <t>Telefonos Onapi Central</t>
  </si>
  <si>
    <t>Telefonos Onapi Oriental</t>
  </si>
  <si>
    <t>Correos y Telegramas</t>
  </si>
  <si>
    <t>Servicios de Internet y Televisión por Cable</t>
  </si>
  <si>
    <t>Electricidad</t>
  </si>
  <si>
    <t>Agua y Basura</t>
  </si>
  <si>
    <t>Lavandería ,Limpieza e Higiene</t>
  </si>
  <si>
    <t>Fumigación</t>
  </si>
  <si>
    <t>Lavado de Cisternas</t>
  </si>
  <si>
    <t>Renta Mantenimiento Local</t>
  </si>
  <si>
    <t>Limpieza Pisos Y Alfombras</t>
  </si>
  <si>
    <t>Publicaciones Ley 20-00</t>
  </si>
  <si>
    <t>Avisos en Medios de Prensa</t>
  </si>
  <si>
    <t>Impresiones y Encuadernaciones</t>
  </si>
  <si>
    <t>Pasajes</t>
  </si>
  <si>
    <t>Fletes</t>
  </si>
  <si>
    <t>Peajes</t>
  </si>
  <si>
    <t>Alquiler Edificios y Locales</t>
  </si>
  <si>
    <t>Alquiler Equipos de Producción</t>
  </si>
  <si>
    <t>Alquilers Equipos de Servicios</t>
  </si>
  <si>
    <t>Alquiler Equipo de Transporte</t>
  </si>
  <si>
    <t>Alquiler Bienes y Servicios</t>
  </si>
  <si>
    <t>Otros Alquileres</t>
  </si>
  <si>
    <t>Seguro Bienes Inmuebles</t>
  </si>
  <si>
    <t>Seguros Edificios y Locales</t>
  </si>
  <si>
    <t>Seguro Vehiculos</t>
  </si>
  <si>
    <t>Seguro Personas</t>
  </si>
  <si>
    <t>Seguro Averias Maquinarias</t>
  </si>
  <si>
    <t>Seguros de Riesgos Equipos Electrónicos</t>
  </si>
  <si>
    <t>Seguros de Responsabilidad Civil Extracontractual</t>
  </si>
  <si>
    <t>Mantenimiento Edificios</t>
  </si>
  <si>
    <t>Mantenimiento Instalaciones</t>
  </si>
  <si>
    <t>Mant. Maquinarias y Equipos</t>
  </si>
  <si>
    <t>Letreros</t>
  </si>
  <si>
    <t>Obras Menores</t>
  </si>
  <si>
    <t>Auditorias y Estudios</t>
  </si>
  <si>
    <t>Gastos Judiciales</t>
  </si>
  <si>
    <t>Matriculas de Vehiculos/Derechos de Placas</t>
  </si>
  <si>
    <t>Servicios Funerarios</t>
  </si>
  <si>
    <t>Capacitación a la Oficina</t>
  </si>
  <si>
    <t>Otras Retenciones</t>
  </si>
  <si>
    <t>Servicios Especiales</t>
  </si>
  <si>
    <t>Servicios Prof. a personas</t>
  </si>
  <si>
    <t>Servicios Prof. a la Oficina</t>
  </si>
  <si>
    <t>Cargos Bancarios Cta. 010-241433-5</t>
  </si>
  <si>
    <t>Cargos Bancarios Cta. 010-250249-8</t>
  </si>
  <si>
    <t>Cargos Bancarios Cta. 010-249554-8 Nominas</t>
  </si>
  <si>
    <t>Cargos Bancarios Transferencias US$</t>
  </si>
  <si>
    <t>Diferencias Cambiarias</t>
  </si>
  <si>
    <t>Gastos Por Liquidar</t>
  </si>
  <si>
    <t>Cargos Bancarios cta. Ahorros por transferencia</t>
  </si>
  <si>
    <t>Otros Servicios no Personales</t>
  </si>
  <si>
    <t>Alimentos para Humanos</t>
  </si>
  <si>
    <t>Alimentos para Animales</t>
  </si>
  <si>
    <t>Bebidas Alcoholicas</t>
  </si>
  <si>
    <t>Productos Agroforestales</t>
  </si>
  <si>
    <t>Carbón Mineral</t>
  </si>
  <si>
    <t>Minerales Metálicos</t>
  </si>
  <si>
    <t>Otros Minerales Metálicos</t>
  </si>
  <si>
    <t>Otros Alimentos y Productos Agroforestales</t>
  </si>
  <si>
    <t>Hilados y Telas</t>
  </si>
  <si>
    <t>Acabados Textiles</t>
  </si>
  <si>
    <t>Prendas de Vestir</t>
  </si>
  <si>
    <t>Otros Textiles y Vestuarios</t>
  </si>
  <si>
    <t>Papel de Escritorio</t>
  </si>
  <si>
    <t>Productos de Papel y Carton</t>
  </si>
  <si>
    <t>Productos de Artes Graficas</t>
  </si>
  <si>
    <t>Libros, Revistas y Periodicos</t>
  </si>
  <si>
    <t>Especies Timbradas y Valoradas</t>
  </si>
  <si>
    <t>Otros Productos de Papel y Carton</t>
  </si>
  <si>
    <t>Cueros y Pieles</t>
  </si>
  <si>
    <t>Otros Productos de Cuero y Caucho</t>
  </si>
  <si>
    <t>Sustancias Quimicas</t>
  </si>
  <si>
    <t>Combustibles, Lubricantes y Otros Derivados</t>
  </si>
  <si>
    <t>Abonos y Fertilizantes</t>
  </si>
  <si>
    <t>Insecticidas, Fumigantes y Otros</t>
  </si>
  <si>
    <t>Productos Medicinales y Farmaceuticos</t>
  </si>
  <si>
    <t>Pinturas, Tintes y Colorantes</t>
  </si>
  <si>
    <t>Otros Productos Quimicos</t>
  </si>
  <si>
    <t>Productos de Arcillas,Piedras y Arena</t>
  </si>
  <si>
    <t>Productos de Vidrio</t>
  </si>
  <si>
    <t>Productos de Loza y Porcelana</t>
  </si>
  <si>
    <t>Productos de Cemento y Asbestos</t>
  </si>
  <si>
    <t>Otros Productos de Minerales no Metalicos</t>
  </si>
  <si>
    <t>Herramientas y Repuestos Menores</t>
  </si>
  <si>
    <t>Otros Productos Metalicos</t>
  </si>
  <si>
    <t>Utiles de Limpieza</t>
  </si>
  <si>
    <t>Utiles de Escritorios. Oficina y Enseñanza</t>
  </si>
  <si>
    <t>Utiles Menores Metálicos -Quirurgicos</t>
  </si>
  <si>
    <t>Utiles de Deportes y Recreativos</t>
  </si>
  <si>
    <t>Utiles de Cocina y Comedor</t>
  </si>
  <si>
    <t>Materiales Ferreteros</t>
  </si>
  <si>
    <t>Otros Productos Varios y Utiles Diversos</t>
  </si>
  <si>
    <t>Conservaciones Rep. Menores y Const. Temporales</t>
  </si>
  <si>
    <t>Reparaciones Extraordinarias  de Maquinarias</t>
  </si>
  <si>
    <t>Maquinarias y Equipos de Producción</t>
  </si>
  <si>
    <t>Equipos Educativos y de Adiestramiento</t>
  </si>
  <si>
    <t>Equipos de Transporte, Tracción</t>
  </si>
  <si>
    <t>Equipos y Muebles de Oficina Onapi Central</t>
  </si>
  <si>
    <t>Equipos y Muebles de Oficina Onapi Este</t>
  </si>
  <si>
    <t>Equipos y Muebles de Oficina Norte</t>
  </si>
  <si>
    <t>Equipos de Computos Onapi Central</t>
  </si>
  <si>
    <t>Onapi Oriental</t>
  </si>
  <si>
    <t>Equipos de Computos Onapi Norte</t>
  </si>
  <si>
    <t>Edificaciones</t>
  </si>
  <si>
    <t>Edificios para Hospitales</t>
  </si>
  <si>
    <t>Transferencias Corrientes al Sector Privado</t>
  </si>
  <si>
    <t>Ayudas y Donaciones a Personas</t>
  </si>
  <si>
    <t>Transferencias a Instituciones s/fines de Lucro</t>
  </si>
  <si>
    <t>A Otras Instituciones Públicas</t>
  </si>
  <si>
    <t>A Instituciones Privadas sin Fines de Lucro</t>
  </si>
  <si>
    <t>Transferencias Corrientes al Sector Publico</t>
  </si>
  <si>
    <t>Transferencias a  la Administración Central</t>
  </si>
  <si>
    <t>Transferencias a Otras Instituciones Publicas</t>
  </si>
  <si>
    <t>Transferencias a Organismos Internacionales</t>
  </si>
  <si>
    <t>Cuota Internacional</t>
  </si>
  <si>
    <t>A Organismos Internacionales</t>
  </si>
  <si>
    <t>Transferencia Banco Suiza para Gastos</t>
  </si>
  <si>
    <t>Intereses Deuda Interna</t>
  </si>
  <si>
    <t>Recargos de la Deuda Interna</t>
  </si>
  <si>
    <t>Otros Gastos Deudas Públicas</t>
  </si>
  <si>
    <t>Muebles y Enseres O-Central</t>
  </si>
  <si>
    <t>Maquinas y Fax O-central</t>
  </si>
  <si>
    <t>Aires Acondicionados O-Central</t>
  </si>
  <si>
    <t>Maquinas Sumadoras O-Central</t>
  </si>
  <si>
    <t>Equipo Educacional y Recreación</t>
  </si>
  <si>
    <t>Otros Mob y Equipos de Oficina O-Central</t>
  </si>
  <si>
    <t>Muebles y Enseres O-Este</t>
  </si>
  <si>
    <t>Maquinas y Fax O-Este</t>
  </si>
  <si>
    <t>Maquinas sumadoras O-Este</t>
  </si>
  <si>
    <t>Otros Mob y Equipos de Oficina O-Este</t>
  </si>
  <si>
    <t>Muebles y Enseres O-Norte</t>
  </si>
  <si>
    <t>Fotocopiadoras O-Norte</t>
  </si>
  <si>
    <t>Otros Mob y Equipos de Oficina O-Norte</t>
  </si>
  <si>
    <t>Muebles y Enseres S.F.M.</t>
  </si>
  <si>
    <t>Máquinas Sumadoras</t>
  </si>
  <si>
    <t>Otros Mob y Equipos de Oficina ONAPI-S.F.M.</t>
  </si>
  <si>
    <t>Jeepetas y Minibus</t>
  </si>
  <si>
    <t>Impresoras O-Central</t>
  </si>
  <si>
    <t>Scaner O-Central</t>
  </si>
  <si>
    <t>Monitores O-Central</t>
  </si>
  <si>
    <t>Otros Equipos de Computos O-Central</t>
  </si>
  <si>
    <t>Impresoras O-Este</t>
  </si>
  <si>
    <t>Monitores O-Este</t>
  </si>
  <si>
    <t>Otros Gastos de Depreciacion Equipos de Computos</t>
  </si>
  <si>
    <t>Servidoes CPU O-Norte</t>
  </si>
  <si>
    <t>Impresoras O-Norte</t>
  </si>
  <si>
    <t>Scaner O-Norte</t>
  </si>
  <si>
    <t>Monitores O-Norte</t>
  </si>
  <si>
    <t>Otros Equipos de Computos O-Norte</t>
  </si>
  <si>
    <t>Servidoes CPU -S.F.M.</t>
  </si>
  <si>
    <t>Impresoras-S.F.M.</t>
  </si>
  <si>
    <t>Otros Gastos de Depreciacion Equipos</t>
  </si>
  <si>
    <t>Equipos de Comunicación Santiago</t>
  </si>
  <si>
    <t>Equipos de Comunicación Este</t>
  </si>
  <si>
    <t>Equipos de Comunicación S.F.M.</t>
  </si>
  <si>
    <t>Microondas S.F.M.</t>
  </si>
  <si>
    <t>Estufa-Este</t>
  </si>
  <si>
    <t>Planta Electrica</t>
  </si>
  <si>
    <t>Inversores S.F.M.</t>
  </si>
  <si>
    <t>Activos Excluidos O-Central</t>
  </si>
  <si>
    <t>Activos Excluidos O-Norte</t>
  </si>
  <si>
    <t>Activos Excluidos O-Este</t>
  </si>
  <si>
    <t>Amortizacion Activos Diferidos</t>
  </si>
  <si>
    <t>Amortizacion  Otros Activos Diferidos</t>
  </si>
  <si>
    <t>Amortizacion Programas de Computos</t>
  </si>
  <si>
    <t>Sistema de Digitalización</t>
  </si>
  <si>
    <t>Sistema Tratamiento de Agua</t>
  </si>
  <si>
    <t>Total General</t>
  </si>
  <si>
    <t>Muebles y Enseres -Bani</t>
  </si>
  <si>
    <t>Aires Acondicionados-Bani</t>
  </si>
  <si>
    <t>Impresoras-Modulo Bani</t>
  </si>
  <si>
    <t xml:space="preserve">         Al 31 de Diciembre 2015</t>
  </si>
  <si>
    <t>Cuenta No.100010102391041 Sub-Cuenta USD No.9995003000</t>
  </si>
  <si>
    <t>USD</t>
  </si>
  <si>
    <t>EUR</t>
  </si>
  <si>
    <t>Retenciones Ley 253-12  5%</t>
  </si>
  <si>
    <t>Neveras Onapi-Central</t>
  </si>
  <si>
    <t>Microondas-Onapi Central</t>
  </si>
  <si>
    <t>Neveras Onapi-Este</t>
  </si>
  <si>
    <t>Microondas-Onapi Este</t>
  </si>
  <si>
    <t>Neveras Onapi-Norte</t>
  </si>
  <si>
    <t>Microondas Onapi-Norte</t>
  </si>
  <si>
    <t>Microondas Onapi-San Francisco de Macoris</t>
  </si>
  <si>
    <t>Nevera Onapi-San Francisco de Macoris</t>
  </si>
  <si>
    <t>Microondas S.C.</t>
  </si>
  <si>
    <t>Lavadoras,Estufas,Equipos de Cocina</t>
  </si>
  <si>
    <t>Microondas Onapi Este</t>
  </si>
  <si>
    <t>Microondas</t>
  </si>
  <si>
    <t xml:space="preserve">Neveras </t>
  </si>
  <si>
    <t xml:space="preserve">Microondas </t>
  </si>
  <si>
    <t>Compensación de Horas Extras Por Pagar</t>
  </si>
  <si>
    <t>Bonificaciones e Incentivos por Resultados Por Pagar</t>
  </si>
  <si>
    <t>Pasantias Por Pagar</t>
  </si>
  <si>
    <t xml:space="preserve">En la actualidad nuestra Consultoria Juridica esta a la espera de reunirse con los abogados de la Superintendencia a los fines de </t>
  </si>
  <si>
    <t>Cuentas Por Pagar  Proveedores</t>
  </si>
  <si>
    <t>Valores en RD$</t>
  </si>
  <si>
    <t>Bancos:</t>
  </si>
  <si>
    <t>Fondo Menudo Recaudadores</t>
  </si>
  <si>
    <t>Edificación Oficina Este</t>
  </si>
  <si>
    <t>Edificaciones-Onapi Regional Este</t>
  </si>
  <si>
    <t>Máquinas y Faxes</t>
  </si>
  <si>
    <t>Máquinas y Fax</t>
  </si>
  <si>
    <t xml:space="preserve">Otros Mobiliarios y Equipos Onapi </t>
  </si>
  <si>
    <t>Viáticos Por Pagar</t>
  </si>
  <si>
    <t>Compensación por Gastos Educativos</t>
  </si>
  <si>
    <t>Honorarios Profesionales y Técnicos</t>
  </si>
  <si>
    <t>Viáticos Fuera del País</t>
  </si>
  <si>
    <t>Otros Gastos Por Indemnizaciones y Compensaciones</t>
  </si>
  <si>
    <t>Comisión 2.5 % Visanet</t>
  </si>
  <si>
    <t>Gastos Por Descuento de Pérdidas Cardnet</t>
  </si>
  <si>
    <t>Neumáticos y Cámara de Aire</t>
  </si>
  <si>
    <t>Productos de Plásticos y de Nylon</t>
  </si>
  <si>
    <t>Cemento , Cal y Yeso</t>
  </si>
  <si>
    <t>Productos Siderúrgicos Férricos</t>
  </si>
  <si>
    <t>Productos Siderúrgicos  No Férricos</t>
  </si>
  <si>
    <t>Productos Eléctricos y  Afines</t>
  </si>
  <si>
    <t>Bonos</t>
  </si>
  <si>
    <t>Aires Acondicionados O-Este</t>
  </si>
  <si>
    <t>Maquinas Sumadoras O-Norte</t>
  </si>
  <si>
    <t>Otros Ingresos</t>
  </si>
  <si>
    <t>Seguros de Viajes al Exterior</t>
  </si>
  <si>
    <t>Servicios Técnicos Profesionales Prestados</t>
  </si>
  <si>
    <t>Capacitación a Personas</t>
  </si>
  <si>
    <t>Fotocopiadoras O-Central</t>
  </si>
  <si>
    <t>Aires Acondicionados O-Norte</t>
  </si>
  <si>
    <t xml:space="preserve">        Valores en RD$</t>
  </si>
  <si>
    <t>Otros Ingresos Varios</t>
  </si>
  <si>
    <t>Excedentes en Recaudaciones</t>
  </si>
  <si>
    <t>Apertura Caja Chica S.F.M.-OP</t>
  </si>
  <si>
    <t>Descuentos Cardnet y Notas de Crédito Clientes</t>
  </si>
  <si>
    <t>Ingresos Brutos</t>
  </si>
  <si>
    <t>Nota: Incluye la Web</t>
  </si>
  <si>
    <t>Oficina Norte</t>
  </si>
  <si>
    <t>Descuentos Notas de Crédito Clientes</t>
  </si>
  <si>
    <t>Sub-Total Neto Oficina Norte</t>
  </si>
  <si>
    <t>Oficina Este</t>
  </si>
  <si>
    <t>Oficina San Francisco de Macoris</t>
  </si>
  <si>
    <t>Sub-Total Neto Oficina San Francisco de Macoris</t>
  </si>
  <si>
    <t xml:space="preserve">                                                                                                   Oficina Nacional de la Propiedad Industrial (ONAPI )</t>
  </si>
  <si>
    <t>Sistema Telefónico</t>
  </si>
  <si>
    <t>Cuentas Por Pagar  enviadas para Pagos</t>
  </si>
  <si>
    <t>Cuentas Compensación Compras-Recepciones Inv. En Tránsito</t>
  </si>
  <si>
    <t>Cuentas por Pagar Proveedores  Loc.  Y Terceros</t>
  </si>
  <si>
    <t>Cuenta No.100010102391041 Sub-Cta. USD No.9995003001</t>
  </si>
  <si>
    <t>Cuenta No.100010102391041 Sub-Cta. USD No.9995003000</t>
  </si>
  <si>
    <t>Cuenta No.100010102391041 Sub-Cta. USD No.0100022000</t>
  </si>
  <si>
    <t>Cuenta No.100010102391041 Sub-Cta. USD No.0100022001</t>
  </si>
  <si>
    <t>Cuenta No.200030100001418 Sub-Cta. EUR No.9995002000</t>
  </si>
  <si>
    <t>Cuenta No.200030100001418 Sub-Cta. EUR No.9995002001</t>
  </si>
  <si>
    <t>Cuenta No.010-2384894 Sub-Cta. No.995008000 BR</t>
  </si>
  <si>
    <t>Cuenta No.010-2384894 Sub-Cta. No.100110000 BR</t>
  </si>
  <si>
    <t>Cuenta No.010-2384894 Sub-Cta. No.100110001 BR</t>
  </si>
  <si>
    <t>Cuenta No.010-2384894 Sub-Cta. No.995008001 BR</t>
  </si>
  <si>
    <t xml:space="preserve">Terreno  por valor de  origen de RD$12,500,000.00 en la Ciudad de Santiago, a Través de La Superintendencia de Seguros, donde se </t>
  </si>
  <si>
    <t>finiquitar entrega de Titulos y asi proceder al pago de la suma pendiente de RD$2,600,000.00.</t>
  </si>
  <si>
    <t>En el año 2017 se adiciona al terreno el monto de RD$79,325.97 para construcción de Pared en el Terreno aumentando el</t>
  </si>
  <si>
    <t>costo al 31 de Diciembre del 2017 a RD$12,579,325.97</t>
  </si>
  <si>
    <t>Nota:  7</t>
  </si>
  <si>
    <t>Nota: 10</t>
  </si>
  <si>
    <t>Nota:  12</t>
  </si>
  <si>
    <t>De la Cuenta de Retenciones de Ley 5%, corresponden a retenciones RD$487,148.64 corresponden a años anteriores y RD$12,601.98 del año 2017.</t>
  </si>
  <si>
    <t>De la Cuenta de Retenciones de Ley 10%, corresponden a retenciones RD$102,198.08 corresponden a años anteriores y RD$28,409.76 del año 2017.</t>
  </si>
  <si>
    <t>De la Cuenta de Retenciones de Ley 2%, corresponde al año 2016.</t>
  </si>
  <si>
    <t>De la Cuenta Viáticos por Pagar corresponde a Viáticos por Pagar a Colaboradores y este monto de RD$28,250.00 corresponden al mes de Diciembre del 2017.</t>
  </si>
  <si>
    <t>De la Cuenta Retención de ITBIS corresponde al cumplimiento  de la Ley 11-92 y sus Normas de  las Retenciones de ITBIS el monto de RD$394,554.89  corresponde al año 2017.</t>
  </si>
  <si>
    <t>De la Cuenta Codia  corresponde al cumplimiento  de la Ley 11-92 Art. 287 literal M y en Cumplimiento a Decrero 319-98, retención Proy. Ingenieria a la espera de Fact. Proveedor.</t>
  </si>
  <si>
    <t>De la Cuenta Notas de Crédito  el monto de RD$83,549.00 corresponden a Notas de Créditos a favor de los Clientes dicho monto corresponde al 2017.</t>
  </si>
  <si>
    <t xml:space="preserve">TOTAL </t>
  </si>
  <si>
    <t>Reposición Caja Chica Cierre Fiscal</t>
  </si>
  <si>
    <t>Sueldo Personal Probatorio</t>
  </si>
  <si>
    <t>Viáticos Dentro del País</t>
  </si>
  <si>
    <t>Diferencias Cambiarias,Otros</t>
  </si>
  <si>
    <t>Imp., Derechos, Tasas,Penalidades y Multas</t>
  </si>
  <si>
    <t>Cargos Bancarios .Cta. Anticipos Financieros</t>
  </si>
  <si>
    <t xml:space="preserve">Comisión Cardnet 2.5% </t>
  </si>
  <si>
    <t>Comisión American Express 2.5%</t>
  </si>
  <si>
    <t>Materiales y Sum. Relacionados con Computos</t>
  </si>
  <si>
    <t>Scaner O-Este</t>
  </si>
  <si>
    <t>Scanner -S.F.M.</t>
  </si>
  <si>
    <t>Amortización Base de Datos</t>
  </si>
  <si>
    <t>Amortización Equipo de Seguridad Rider Lock</t>
  </si>
  <si>
    <t>Otros Gastos de Depreciacion Equipos-S.FM.</t>
  </si>
  <si>
    <t>USD/EUR</t>
  </si>
  <si>
    <t>US$   13,726.46</t>
  </si>
  <si>
    <t>EUR     5,000.00</t>
  </si>
  <si>
    <t>US$      23,281.81</t>
  </si>
  <si>
    <t>Bonificaciones e Incentivos Por Pagar</t>
  </si>
  <si>
    <t>Nota:  8</t>
  </si>
  <si>
    <t>Nota:  9</t>
  </si>
  <si>
    <t>Nota:  11</t>
  </si>
  <si>
    <t>Nota: 11</t>
  </si>
  <si>
    <t>Nota: 13</t>
  </si>
  <si>
    <t>NOTA 21:</t>
  </si>
  <si>
    <t>NOTA  22:</t>
  </si>
  <si>
    <t>NOTA 23:</t>
  </si>
  <si>
    <t>NOTA 24:</t>
  </si>
  <si>
    <t>NOTA 25:</t>
  </si>
  <si>
    <t>OK</t>
  </si>
  <si>
    <t>Programa de Computo y Base de Datos</t>
  </si>
  <si>
    <t>Personal Carácter Eventual</t>
  </si>
  <si>
    <t>Contribuciones a la Seguro Familiar de  Salud</t>
  </si>
  <si>
    <t>Servicios Sanitarios Médicos y Veterinarios</t>
  </si>
  <si>
    <t>Servicios de Alimentación</t>
  </si>
  <si>
    <t>Servidores CPU O-Central</t>
  </si>
  <si>
    <t>Servidores CPU O-Este</t>
  </si>
  <si>
    <t>Excedentes en Recaudaciones/Faltante-Neto</t>
  </si>
  <si>
    <t xml:space="preserve"> </t>
  </si>
  <si>
    <t>Pérdidas de Cardnet</t>
  </si>
  <si>
    <t>Fondo Menudo Regional Este</t>
  </si>
  <si>
    <t>Fondo Caja Chica CATI-Puerto Plata</t>
  </si>
  <si>
    <t>EUR     1,996.50</t>
  </si>
  <si>
    <t>EUR     3,003.50</t>
  </si>
  <si>
    <t>US$   54,105.29</t>
  </si>
  <si>
    <t>Cuentas Por Cobrar Sra. Maria Patricia Sánchez Vásquez</t>
  </si>
  <si>
    <t>EQUIPO DE COMPUTOS ORIENTAL-DEPRECIACION ACUMULADA</t>
  </si>
  <si>
    <t>Onapi  CATI-UASD</t>
  </si>
  <si>
    <t>Onapi  CATI-Puerto Plata</t>
  </si>
  <si>
    <t>CATI-UASD:</t>
  </si>
  <si>
    <t>Total Depreciación Muebles CATI-UASD</t>
  </si>
  <si>
    <t>CATI-Puerto Plata:</t>
  </si>
  <si>
    <t>EQUIPO DE COMPUTOS CATI-UASD-DEPRECIACION ACUMULADA</t>
  </si>
  <si>
    <t>Total Depreciación Equipos de Computos CATI-UASD</t>
  </si>
  <si>
    <t>Onapi-CATI-UASD</t>
  </si>
  <si>
    <t>Sistema de Gestión de Calidad ISO-TOOLS</t>
  </si>
  <si>
    <t>Amortización de Base de Datos</t>
  </si>
  <si>
    <t>TOTAL NOTA 11:  BIENES DE USO</t>
  </si>
  <si>
    <t>TOTAL NOTA 11:  EQUIPO DE TRANSPORTE</t>
  </si>
  <si>
    <t>Nota: 12</t>
  </si>
  <si>
    <t>TOTAL NOTA 12:DIFERIDOS E INTANGIBLES</t>
  </si>
  <si>
    <t>TOTAL NOTA No. 13:CUENTAS POR PAGAR</t>
  </si>
  <si>
    <t xml:space="preserve">                                                                                                                                                                         Oficina Nacional de la Propiedad Industrial (ONAPI )</t>
  </si>
  <si>
    <t xml:space="preserve">                                                                                                                                                                 Nota a los Ingresos</t>
  </si>
  <si>
    <t xml:space="preserve">       </t>
  </si>
  <si>
    <t>Del Gobierno Central</t>
  </si>
  <si>
    <t>Ingresos Propios Netos</t>
  </si>
  <si>
    <t>NOTA 18:</t>
  </si>
  <si>
    <t>NOTA 17:</t>
  </si>
  <si>
    <t xml:space="preserve">      </t>
  </si>
  <si>
    <t>NOTA 19:</t>
  </si>
  <si>
    <t>Nota: 15</t>
  </si>
  <si>
    <t>TOTAL NOTA 15:OTRAS CUENTAS POR PAGAR</t>
  </si>
  <si>
    <t>Nota:14</t>
  </si>
  <si>
    <t>TOTAL NOTA 14:ACUMULACIONES Y RETENCIONES POR PAGAR</t>
  </si>
  <si>
    <t>Fondo Caja Chica Administrativo</t>
  </si>
  <si>
    <t>Fondo Caja Chica Dirección General</t>
  </si>
  <si>
    <t>Fondo Caja Chica Oficina Regional Este</t>
  </si>
  <si>
    <t>Fondo Caja Chica Oficina Regional Norte</t>
  </si>
  <si>
    <t>Fondo Caja Chica Tesoreria</t>
  </si>
  <si>
    <t>Incentivo Por Resultados-Rendimiento Individual</t>
  </si>
  <si>
    <t>Muebles y Enseres -CATI UASD</t>
  </si>
  <si>
    <t>Muebles y Enseres -CATI -Puerto Plata</t>
  </si>
  <si>
    <t>Servidores CPU-CATI -Puerto Plata</t>
  </si>
  <si>
    <t>Otros Equipos de Computo-CATI-UASD</t>
  </si>
  <si>
    <t>Reclamaciones Ventas On Line-Ctas. Incobrables</t>
  </si>
  <si>
    <t>NOTAS A LOS ESTADOS FINANCIEROS</t>
  </si>
  <si>
    <t>VALORES EN RD$</t>
  </si>
  <si>
    <t>Cuenta No.1000-01-314-000074-1-Anticipos Financieros</t>
  </si>
  <si>
    <t>Cuenta Unica de Tesoro de la ONAPI</t>
  </si>
  <si>
    <t xml:space="preserve">Y en cumpliendo con lo establecido en las Normas y el Código Tributario se  expresan en la moneda local en </t>
  </si>
  <si>
    <t>(RD$) Pesos Dominicanos las Cuentas en Monedas Extranjeras. Las mismas presentan los siguientes valores:</t>
  </si>
  <si>
    <t>Los Montos en negativo los ajustes lo realiza la Tesoreria Nacional en el año siguiente. El balance de la Sub-</t>
  </si>
  <si>
    <t>** La Reclamación  a la Ing. Dominga Acevedo corresponde a registro  contable No.32,930 de fecha 31/07/2008</t>
  </si>
  <si>
    <t>Total Edificación Oficina Regional Este</t>
  </si>
  <si>
    <t>El balance de esta cuenta representa el valor histórico de cada</t>
  </si>
  <si>
    <t>utilizado es el de Linea Recta,</t>
  </si>
  <si>
    <t>Onapi-CATI-Puerto Plata</t>
  </si>
  <si>
    <t xml:space="preserve">El balance de esta cuenta representa los valores </t>
  </si>
  <si>
    <t>Total Depreciación Equipos de Computos CATI-PUERTO PLATA</t>
  </si>
  <si>
    <t>EQUIPO DE COMPUTOS CATI-PUERTO PLATA-DEPRECIACION ACUMULADA</t>
  </si>
  <si>
    <t>Compensación Por Pagar</t>
  </si>
  <si>
    <t>Otros Activos Intangibles</t>
  </si>
  <si>
    <t>Fondo Caja Chica CATI</t>
  </si>
  <si>
    <t>Fondo Caja Chica Oficina San Francisco de Macoris</t>
  </si>
  <si>
    <t>Transferencias</t>
  </si>
  <si>
    <t>El Balance de esta cuenta al 31 de Diciembre del 2020,fué de RD$148,931,698.08</t>
  </si>
  <si>
    <t>El valor al 31-12-2019 de RD$148,931,698.06. Al 01 de Octubre del 2020 se adiciona RD$1,447,713.91 este mon-</t>
  </si>
  <si>
    <t>to es de finalización del Proyecto de Remodelación de algunas Oficinas de la O.P. en Cristal .Al 31 de Dici-</t>
  </si>
  <si>
    <t>Recaudaciones en Tránsito</t>
  </si>
  <si>
    <t>Sueldo Personal Contratado-Temporal</t>
  </si>
  <si>
    <t>Sueldo  Temporal a Personal Fijo Cargo de Carrera</t>
  </si>
  <si>
    <t>Otros Gastos Pagados Por Anticipados</t>
  </si>
  <si>
    <t>de la Dirección General de Contabilidad Gubernamental</t>
  </si>
  <si>
    <t>Instalaciones Temporales</t>
  </si>
  <si>
    <t>Otras Cargos Bancarios-TC</t>
  </si>
  <si>
    <t>La Cuenta Otros Gastos Pagados por Anticipados se crea en cumplimiento a la Circular No. 04  del 18 de Nov. 2020</t>
  </si>
  <si>
    <t>Otros Gastos Operativos</t>
  </si>
  <si>
    <t>Aires Acondicionados -S.F.M.</t>
  </si>
  <si>
    <t>Automoviles</t>
  </si>
  <si>
    <t>Ascensor Edificio Administrativo</t>
  </si>
  <si>
    <t>Otros Equipos Varios-Este</t>
  </si>
  <si>
    <t>Nota: La Onapi empezó en el 2021 a realizar los registros de la Depreciación del Sistema SIAB,en el Sistema Contables interno, basada en la Vida Util del  Catalogo de Bienes del  Estado,por lo que se realizarán los ajustes de lugar en caso de requerirlo en el Sistema Contable. Los  rubros que presentan la señalización con  (*) ,estas cuentas contables fueron creadas basadas en la segregación  del Catálogo de Bienes del Estado y realizados los ajustes de lugar.</t>
  </si>
  <si>
    <t xml:space="preserve">                                                                                    Del  1ero. Al  31 de Diciembre del 20201 y 2020</t>
  </si>
  <si>
    <t>De los Ingresos recibidos del Gobierno Central -MICM la cuota mensual es  RD$4,523,096.00.Se recibe una asignación en el Mes de Diciembre del 2021 por valor de</t>
  </si>
  <si>
    <t>2-RD$338,614.58, de diferencias cambiarias en pagos Internacionales y ajustes de la Tesoreria Nacional en las sub-cuentas por Diferencias Cambiarias y Procesos Varios.</t>
  </si>
  <si>
    <t>Oficina Principal-Web</t>
  </si>
  <si>
    <t>Sub-Total Neto Principal´-Web</t>
  </si>
  <si>
    <t>Los Ingresos de Captación Directa Netos tuvieron un aumento de RD$98,105,023.79  en el  del 2021 en relación al 2020,</t>
  </si>
  <si>
    <t xml:space="preserve"> RD$5,622,341.00.La asignación Presupuestaria tuvo un aumento de RD$1,099,232.00 representando un anumento de un 2% con relación al 2020.</t>
  </si>
  <si>
    <t>representando  el aumento en termino porcentual de un 27%,indicando un buen manejo Económico y Financiero de la Onapi.</t>
  </si>
  <si>
    <t>AL 31 DE DICIEMBRE DEL 2021</t>
  </si>
  <si>
    <t xml:space="preserve">Nota: el  22 de Marzo del 2021 hubo un aumento de la Caja Chica de San Francisco de Macoris </t>
  </si>
  <si>
    <t>por valor de RD$10,000.00</t>
  </si>
  <si>
    <t xml:space="preserve">la Oficina Española de Patentes ,siendo el equivalente en pesos de RD$30,616.71, generando el negativo  en </t>
  </si>
  <si>
    <t>pesos de (RD$2,180.66).</t>
  </si>
  <si>
    <t xml:space="preserve">31/03/2021  el balance de la Cuenta en pesos fué de RD$28,436.05 , y se realizó el Ordenamiento de pago de </t>
  </si>
  <si>
    <t>Secretaria General Iberoamericana siendo el equivalente en pesos de RD$174,368.99,generandose el negativo</t>
  </si>
  <si>
    <t>en pesos de (RD$6.471.67).</t>
  </si>
  <si>
    <t xml:space="preserve">día 31/03/2021 el  equivalente en Pesos fué de RD$1678,897.32.Se realizó un Ordenamiento  de Pago a la </t>
  </si>
  <si>
    <t>Cuenta No.9995003001 en USD$,  el negativo al 31/12/2021 del equivalente en Pesos  corresponde a que el día</t>
  </si>
  <si>
    <t>Ascensor Edificio Adminsitrativo</t>
  </si>
  <si>
    <t>*-Estas cuentas fueron creadas en cumplimiento al Catálogo de Bienes del Estado</t>
  </si>
  <si>
    <t xml:space="preserve">actvo asi como su depreciación acumulada al 2021,el método </t>
  </si>
  <si>
    <t>ok</t>
  </si>
  <si>
    <t>su depreciación acumulada al 2021,el método utilizado es el de Linea Recta,</t>
  </si>
  <si>
    <t>de cada Oficina al 2021</t>
  </si>
  <si>
    <t>Ascensor Area Administrativo</t>
  </si>
  <si>
    <t xml:space="preserve">embre del 2020 asciende a RD$150,379,411.97, en cumplimiento a lo que establece el Catálogo de Bienes del </t>
  </si>
  <si>
    <t>Estado se segrega el monto del Ascensor por valor de RD$1,987,733.80, rebajando este valor el Balance de la</t>
  </si>
  <si>
    <t xml:space="preserve"> cuenta al 31-12-2021 es de RD$148,391,678.17.</t>
  </si>
  <si>
    <t>El balance de esta cuenta representa el monto total de las Adquisiones de Programas</t>
  </si>
  <si>
    <t>Ayudas y/o Aportes</t>
  </si>
  <si>
    <t>*-Las Retenciones y los Sueldos pendientes a Pagar se pagan el 06 de Enero del 2022.</t>
  </si>
  <si>
    <t>Prestaciones Laborales Por Pagar</t>
  </si>
  <si>
    <t>Vacaciones Por Pagar</t>
  </si>
  <si>
    <t>1-Devolución de la Tesoreria Nacional por Subsidios de Maternidad y Lactancia RD$274,553.85</t>
  </si>
  <si>
    <t>OFICINA NACIONAL DE LA PROPIEDAD INDUSTRIAL(ONAPI)</t>
  </si>
  <si>
    <t>Estado de Situación Financiera</t>
  </si>
  <si>
    <t>(Valores en RD$)</t>
  </si>
  <si>
    <t>Activos</t>
  </si>
  <si>
    <t>Activos corrientes</t>
  </si>
  <si>
    <t>Efectivo y equivalentes de efectivo (Nota 7)</t>
  </si>
  <si>
    <t>Inversiones a corto plazo (Nota 8)</t>
  </si>
  <si>
    <t>Porción corriente de documentos por cobrar (Nota 9)</t>
  </si>
  <si>
    <t>Cuenta por cobrar a corto plazo (Notas 08)</t>
  </si>
  <si>
    <t>Inventarios (Nota 9)</t>
  </si>
  <si>
    <t>Pagos anticipados (Nota 10)</t>
  </si>
  <si>
    <t>Otros activos corrientes (Nota 13)</t>
  </si>
  <si>
    <t>Cuentas por cobrar a largo plazo (Notas 14)</t>
  </si>
  <si>
    <t>Documentos por cobrar (Nota 15)</t>
  </si>
  <si>
    <t>Inversiones a largo plazo (Nota 16)</t>
  </si>
  <si>
    <t>Otros activos financieros (Notas 17)</t>
  </si>
  <si>
    <t xml:space="preserve">Activos intangibles (Nota 12) </t>
  </si>
  <si>
    <t xml:space="preserve">Otros activos no financieros (Nota 20) </t>
  </si>
  <si>
    <t>Total activos</t>
  </si>
  <si>
    <t>Pasivos</t>
  </si>
  <si>
    <t>Sobregiro bancario (Nota 21)</t>
  </si>
  <si>
    <t>Cuentas por pagar a corto plazo (Nota 13)</t>
  </si>
  <si>
    <t>Préstamos a corto plazo (Nota 23)</t>
  </si>
  <si>
    <t>Parte corriente de préstamos a largo plazo (Nota 24)</t>
  </si>
  <si>
    <t>Retenciones y acumulaciones por pagar (Nota 14)</t>
  </si>
  <si>
    <t>Provisiones a corto plazo (Nota 26)</t>
  </si>
  <si>
    <t>Beneficios a empleados a corto plazo (Nota 27)</t>
  </si>
  <si>
    <t>Pensiones (Nota 28)</t>
  </si>
  <si>
    <t>Otros pasivos corrientes (Nota 15)</t>
  </si>
  <si>
    <t>Cuentas por pagar a largo plazo (Nota 16)</t>
  </si>
  <si>
    <t>Préstamos a largo plazo (Nota 31)</t>
  </si>
  <si>
    <t>Instrumentos de deuda (Nota 32)</t>
  </si>
  <si>
    <t>Provisiones a largo plazo (Nota 33)</t>
  </si>
  <si>
    <t>Beneficios a empleados a largo plazo (Nota 34)</t>
  </si>
  <si>
    <t>Activos Netos/Patrimonio (Nota 16)</t>
  </si>
  <si>
    <t>Capital</t>
  </si>
  <si>
    <t>Reservas</t>
  </si>
  <si>
    <t>Resultados positivos (ahorro)</t>
  </si>
  <si>
    <t xml:space="preserve">Resultados acumulados </t>
  </si>
  <si>
    <t>Al 31 de diciembre de 2021 y 2020</t>
  </si>
  <si>
    <r>
      <t xml:space="preserve">          </t>
    </r>
    <r>
      <rPr>
        <b/>
        <sz val="11"/>
        <rFont val="Times New Roman"/>
        <family val="1"/>
      </rPr>
      <t>Encargado Financiero</t>
    </r>
  </si>
  <si>
    <t xml:space="preserve">Encargado Contabilidad </t>
  </si>
  <si>
    <t>Estado de Rendimiento Financiero</t>
  </si>
  <si>
    <t>Ingresos (Nota 17,18,19)</t>
  </si>
  <si>
    <t>Ingresos por transacciones con contraprestación</t>
  </si>
  <si>
    <t>Recargos, multas y otros ingresos</t>
  </si>
  <si>
    <t>Sueldos, salarios y beneficios a empleados</t>
  </si>
  <si>
    <t>Subvenciones y otros pagos por transferencias</t>
  </si>
  <si>
    <t>Suministros y materiales para consumo</t>
  </si>
  <si>
    <t>Gasto de depreciación y amortización</t>
  </si>
  <si>
    <t>Deterioro del valor de propiedad, planta y equipo</t>
  </si>
  <si>
    <t>Otros gastos</t>
  </si>
  <si>
    <t>Gastos financieros</t>
  </si>
  <si>
    <t>Ganancia (pérdida) por diferencia cambiaria</t>
  </si>
  <si>
    <t xml:space="preserve">Participación en resultado de asociadas </t>
  </si>
  <si>
    <t>Atribuible a:</t>
  </si>
  <si>
    <t>Propietarios de la entidad controladora</t>
  </si>
  <si>
    <t xml:space="preserve">Intereses minoritarios </t>
  </si>
  <si>
    <t>Del ejercicio terminado al 31 de diciembre del 2021 y 2020</t>
  </si>
  <si>
    <t>Gastos (Notas 20, 21, 22, 23, 24,25)</t>
  </si>
  <si>
    <r>
      <t xml:space="preserve">                                        </t>
    </r>
    <r>
      <rPr>
        <b/>
        <sz val="11"/>
        <color indexed="8"/>
        <rFont val="Times New Roman"/>
        <family val="1"/>
      </rPr>
      <t xml:space="preserve"> Del Ministro y/o Director General</t>
    </r>
  </si>
  <si>
    <t>Estado de Cambio de Activo / Patrimonio</t>
  </si>
  <si>
    <t>Capital Aportado</t>
  </si>
  <si>
    <t>Cambios en Políticas Contables</t>
  </si>
  <si>
    <t>Revaluación</t>
  </si>
  <si>
    <t>Resultados Acumulados</t>
  </si>
  <si>
    <t>Total Activos Netos / Patrimonio</t>
  </si>
  <si>
    <t>Saldo al 01 de Enero de 2020</t>
  </si>
  <si>
    <t>Cambio en políticas contables</t>
  </si>
  <si>
    <t>Revaluación de Propiedad, planta y equipo</t>
  </si>
  <si>
    <t xml:space="preserve">Ajuste al patrimonio </t>
  </si>
  <si>
    <t>Resultado del período</t>
  </si>
  <si>
    <t>Saldo al 01 de Enero de 2021</t>
  </si>
  <si>
    <t>Efecto del gasto de depreciación de los activos revaluados</t>
  </si>
  <si>
    <r>
      <t xml:space="preserve">           </t>
    </r>
    <r>
      <rPr>
        <b/>
        <sz val="11"/>
        <color indexed="8"/>
        <rFont val="Times New Roman"/>
        <family val="1"/>
      </rPr>
      <t xml:space="preserve"> Encargado Financiero</t>
    </r>
  </si>
  <si>
    <r>
      <t xml:space="preserve">     </t>
    </r>
    <r>
      <rPr>
        <b/>
        <sz val="11"/>
        <color indexed="8"/>
        <rFont val="Times New Roman"/>
        <family val="1"/>
      </rPr>
      <t>Encargado de Contabilidad</t>
    </r>
  </si>
  <si>
    <t>Del ejercicio terminado al 31 de Diciembre de 2021 y 2020</t>
  </si>
  <si>
    <t>Saldo al 31 de Diciembre del 2021</t>
  </si>
  <si>
    <t>Saldo al 31 de Diciembre del 2020</t>
  </si>
  <si>
    <t xml:space="preserve">Estado de Comparación de los Importes Presupuestados y Realizados </t>
  </si>
  <si>
    <t>Durante el Año Terminado el 31 de Diciembre de 2021</t>
  </si>
  <si>
    <t>Presupuesto sobre la Base de Efectivo</t>
  </si>
  <si>
    <t>(Clasificación de Ingresos y Gastos por Objeto)</t>
  </si>
  <si>
    <r>
      <rPr>
        <b/>
        <sz val="11"/>
        <rFont val="Times New Roman"/>
        <family val="1"/>
      </rPr>
      <t>Concepto</t>
    </r>
  </si>
  <si>
    <r>
      <rPr>
        <b/>
        <sz val="11"/>
        <rFont val="Times New Roman"/>
        <family val="1"/>
      </rPr>
      <t>Presupuesto Reformado (A)</t>
    </r>
  </si>
  <si>
    <r>
      <rPr>
        <b/>
        <sz val="11"/>
        <rFont val="Times New Roman"/>
        <family val="1"/>
      </rPr>
      <t>Presupuesto Ejecutado (B)</t>
    </r>
  </si>
  <si>
    <t>% de Variac Ejecución (C=B/A)</t>
  </si>
  <si>
    <t>Variación (D=A-B)</t>
  </si>
  <si>
    <r>
      <rPr>
        <b/>
        <sz val="11"/>
        <rFont val="Times New Roman"/>
        <family val="1"/>
      </rPr>
      <t>Ingresos totales</t>
    </r>
  </si>
  <si>
    <r>
      <rPr>
        <sz val="11"/>
        <rFont val="Times New Roman"/>
        <family val="1"/>
      </rPr>
      <t>Impuestos</t>
    </r>
  </si>
  <si>
    <r>
      <rPr>
        <sz val="11"/>
        <rFont val="Times New Roman"/>
        <family val="1"/>
      </rPr>
      <t>Contribuciones Sociales</t>
    </r>
  </si>
  <si>
    <r>
      <rPr>
        <sz val="11"/>
        <rFont val="Times New Roman"/>
        <family val="1"/>
      </rPr>
      <t>Donaciones</t>
    </r>
  </si>
  <si>
    <r>
      <rPr>
        <sz val="11"/>
        <rFont val="Times New Roman"/>
        <family val="1"/>
      </rPr>
      <t>Transferencias</t>
    </r>
  </si>
  <si>
    <r>
      <rPr>
        <sz val="11"/>
        <rFont val="Times New Roman"/>
        <family val="1"/>
      </rPr>
      <t>Ingresos por contraprestación</t>
    </r>
  </si>
  <si>
    <r>
      <rPr>
        <sz val="11"/>
        <rFont val="Times New Roman"/>
        <family val="1"/>
      </rPr>
      <t>Otros ingresos</t>
    </r>
  </si>
  <si>
    <r>
      <rPr>
        <sz val="11"/>
        <rFont val="Times New Roman"/>
        <family val="1"/>
      </rPr>
      <t>Venta de activos no financieros</t>
    </r>
  </si>
  <si>
    <r>
      <rPr>
        <sz val="11"/>
        <rFont val="Times New Roman"/>
        <family val="1"/>
      </rPr>
      <t>Activos financieros con fines de política</t>
    </r>
  </si>
  <si>
    <r>
      <rPr>
        <sz val="11"/>
        <rFont val="Times New Roman"/>
        <family val="1"/>
      </rPr>
      <t>Ingresos a especificar</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</si>
  <si>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</si>
  <si>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</si>
  <si>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</si>
  <si>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</si>
  <si>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Transferencias corrientes</t>
    </r>
  </si>
  <si>
    <r>
      <rPr>
        <sz val="11"/>
        <rFont val="Times New Roman"/>
        <family val="1"/>
      </rPr>
      <t>Transferencias de capital</t>
    </r>
  </si>
  <si>
    <r>
      <rPr>
        <sz val="11"/>
        <rFont val="Times New Roman"/>
        <family val="1"/>
      </rPr>
      <t>Bienes muebles, inmuebles e intangibles</t>
    </r>
  </si>
  <si>
    <r>
      <rPr>
        <sz val="11"/>
        <rFont val="Times New Roman"/>
        <family val="1"/>
      </rPr>
      <t>Obras</t>
    </r>
  </si>
  <si>
    <t>Adquisición de Activos Financieros con fines de Políticas</t>
  </si>
  <si>
    <r>
      <rPr>
        <sz val="11"/>
        <rFont val="Times New Roman"/>
        <family val="1"/>
      </rPr>
      <t>Gastos financieros</t>
    </r>
  </si>
  <si>
    <t>Nota:se tiene la siguiente cuenta presupuestaria:</t>
  </si>
  <si>
    <t>4,2,</t>
  </si>
  <si>
    <t>Disminucion de Pasivos</t>
  </si>
  <si>
    <t xml:space="preserve">                                   Encargado Contabilidad </t>
  </si>
  <si>
    <t xml:space="preserve">              Encargado Financiero</t>
  </si>
  <si>
    <t>Estado de Flujo de Efectivo</t>
  </si>
  <si>
    <t>Flujos de efectivo procedentes de actividades de operación (AOP)</t>
  </si>
  <si>
    <t>Cobros impuestos</t>
  </si>
  <si>
    <t>Contribuciones de la seguridad social</t>
  </si>
  <si>
    <t>Cobros por venta de bienes y servicios y arrendamientos</t>
  </si>
  <si>
    <t>Cobros de subvenciones, transferencias, y otras asignaciones</t>
  </si>
  <si>
    <t>Cobros de seguros por primas, reclamos y otros</t>
  </si>
  <si>
    <t>Cobros por contratos mantenidos para negocios o intercambio</t>
  </si>
  <si>
    <t>Cobros de intereses financieros</t>
  </si>
  <si>
    <t>Otros cobros</t>
  </si>
  <si>
    <t>Pagos a los trabajadores o en beneficio de ellos</t>
  </si>
  <si>
    <t>Pagos por contribuciones a la seguridad social</t>
  </si>
  <si>
    <t>Pagos de pensiones y jubilaciones</t>
  </si>
  <si>
    <t xml:space="preserve">Pagos a proveedores </t>
  </si>
  <si>
    <t xml:space="preserve">Otros pagos </t>
  </si>
  <si>
    <t>Flujos de efectivo netos de las actividades de operación</t>
  </si>
  <si>
    <t>Flujos de efectivo de las actividades de inversión (AINV)</t>
  </si>
  <si>
    <t xml:space="preserve">Cobros por venta de propiedad, planta y equipo </t>
  </si>
  <si>
    <t>Cobros por venta de intangibles y otros activos de largo plazo</t>
  </si>
  <si>
    <t>Cobros por títulos patrimoniales o de deuda y participación en asociaciones</t>
  </si>
  <si>
    <t>Cobros por reembolsos de préstamos o anticipos hechos a terceros</t>
  </si>
  <si>
    <t>Cobros por conceptos de contratos a futuro, a plazo, opciones o permuta</t>
  </si>
  <si>
    <t xml:space="preserve">Pagos por adquisición de propiedad, planta y equipo </t>
  </si>
  <si>
    <t>Pagos por adquisición de intangibles y otros activos de largo plazo</t>
  </si>
  <si>
    <t>Pagos por adquisición de títulos patrimoniales o de deuda y participación en asociaciones</t>
  </si>
  <si>
    <t>Pagos por otorgamiento de préstamos o anticipos hechos a terceros</t>
  </si>
  <si>
    <t>Pagos por conceptos de contratos a futuro, a plazo, opciones o permuta</t>
  </si>
  <si>
    <t>Pagos por costos de construcciones y desarrollos en proceso</t>
  </si>
  <si>
    <t xml:space="preserve">Flujos de efectivo netos por las actividades de inversión </t>
  </si>
  <si>
    <t>Flujos de efectivo de las actividades de financiación</t>
  </si>
  <si>
    <t>Cobro por emisión de títulos de deudas, bonos</t>
  </si>
  <si>
    <t>Cobro por préstamos, pagarés, hipotecas</t>
  </si>
  <si>
    <t>Cobro por aporte de accionista</t>
  </si>
  <si>
    <t>Cobro de los arrendatarios por contratos de arrendamientos financieros</t>
  </si>
  <si>
    <t>Pago reembolso en efectivo de los montos recibidos en emisión de títulos de deudas, bonos</t>
  </si>
  <si>
    <t>Pago reembolso en efectivo de los montos recibidos en préstamos, pagarés, hipotecas</t>
  </si>
  <si>
    <t>Pago reembolso de efectivo recibió por aporte de accionista</t>
  </si>
  <si>
    <t xml:space="preserve">Pago por distribución/dividendos al gobierno </t>
  </si>
  <si>
    <t>Pago de los arrendatarios por contratos de arrendamientos financieros</t>
  </si>
  <si>
    <t>Flujos de efectivo netos por las actividades de financiación</t>
  </si>
  <si>
    <t xml:space="preserve">Incremento/(Disminución) neta en efectivo y equivalentes al efectivo </t>
  </si>
  <si>
    <t xml:space="preserve">Efectivo y equivalentes al efectivo al principio del período </t>
  </si>
  <si>
    <t xml:space="preserve">Efectivo y equivalentes al efectivo al final del período </t>
  </si>
  <si>
    <t xml:space="preserve">                                                                         Del Ministro y/o Director General</t>
  </si>
  <si>
    <r>
      <t xml:space="preserve">         </t>
    </r>
    <r>
      <rPr>
        <b/>
        <sz val="14"/>
        <rFont val="Times New Roman"/>
        <family val="1"/>
      </rPr>
      <t xml:space="preserve">  </t>
    </r>
    <r>
      <rPr>
        <b/>
        <sz val="11"/>
        <rFont val="Times New Roman"/>
        <family val="1"/>
      </rPr>
      <t>Encargado Financiero</t>
    </r>
  </si>
  <si>
    <r>
      <t xml:space="preserve"> </t>
    </r>
    <r>
      <rPr>
        <b/>
        <sz val="11"/>
        <rFont val="Times New Roman"/>
        <family val="1"/>
      </rPr>
      <t xml:space="preserve"> Encargado de Contabilidad</t>
    </r>
  </si>
  <si>
    <t>Del ejercicio terminado al 31 de Diciembre del 2021 y 2020</t>
  </si>
  <si>
    <t xml:space="preserve">                              Del Ministro y/o Director General</t>
  </si>
  <si>
    <r>
      <t xml:space="preserve">                                                                              </t>
    </r>
    <r>
      <rPr>
        <b/>
        <sz val="11"/>
        <color indexed="8"/>
        <rFont val="Times New Roman"/>
        <family val="1"/>
      </rPr>
      <t xml:space="preserve"> Del Ministro y/o Director General</t>
    </r>
  </si>
  <si>
    <t>Incluyen un monto de RD$613,168.43 de Otros Ingresos, se componen como sigue:</t>
  </si>
  <si>
    <t>.</t>
  </si>
  <si>
    <r>
      <t>Mobiliarios y equipos neto (Nota 11)</t>
    </r>
    <r>
      <rPr>
        <sz val="11"/>
        <color indexed="10"/>
        <rFont val="Times New Roman"/>
        <family val="1"/>
      </rPr>
      <t xml:space="preserve"> </t>
    </r>
  </si>
  <si>
    <t>Total Activos Corrientes</t>
  </si>
  <si>
    <t>Total Activos no Corrientes</t>
  </si>
  <si>
    <t>Activos no Corrientes</t>
  </si>
  <si>
    <t>Pasivos Corrientes</t>
  </si>
  <si>
    <t>Total Pasivos Corrientes</t>
  </si>
  <si>
    <t>Pasivos no Corrientes</t>
  </si>
  <si>
    <t>Total Pasivos no Corrientes</t>
  </si>
  <si>
    <t xml:space="preserve">Total Pasivos </t>
  </si>
  <si>
    <t>Total Activos Netos/Patrimonio</t>
  </si>
  <si>
    <t>Total Pasivos y Activos Netos/Patrimonio</t>
  </si>
  <si>
    <t xml:space="preserve">          Encargado Contabilidad </t>
  </si>
  <si>
    <r>
      <t xml:space="preserve">    </t>
    </r>
    <r>
      <rPr>
        <b/>
        <sz val="11"/>
        <rFont val="Times New Roman"/>
        <family val="1"/>
      </rPr>
      <t>Encargado Financiero</t>
    </r>
  </si>
  <si>
    <r>
      <t xml:space="preserve">                                            </t>
    </r>
    <r>
      <rPr>
        <b/>
        <sz val="11"/>
        <color indexed="8"/>
        <rFont val="Times New Roman"/>
        <family val="1"/>
      </rPr>
      <t xml:space="preserve"> Del Ministro y/o Director General</t>
    </r>
  </si>
  <si>
    <t>Resultados Positivos (ahorro) / Negativo (desahorro)</t>
  </si>
  <si>
    <t>Total Ingresos</t>
  </si>
  <si>
    <t>Total Gastos</t>
  </si>
  <si>
    <t>Las notas son parte integral de estos Estados Financieros.</t>
  </si>
  <si>
    <t xml:space="preserve">                                                             Relación de Gastos Años 2021,2020</t>
  </si>
  <si>
    <t>AÑOS 2021,2020</t>
  </si>
  <si>
    <t>Las notas  son parte integral de estos Estados Financieros.</t>
  </si>
  <si>
    <t>Nota: Los ajustes al patrimonio en el año 2021 corresponde a ajuste Neto Crédito por concepto de Notas de Créditos RD$66,393.00,</t>
  </si>
  <si>
    <t xml:space="preserve">excedentes en pagos de clientes de años anteriores.Ajustes Crédito por liquidación de  Cheques años anteriores RD$13.45. Ajuste </t>
  </si>
  <si>
    <t xml:space="preserve">anteriores en segregación de Ascensor en cumplimiento al Catalogo de Bienes del Estado por Instalación Sistema SIAB por valor </t>
  </si>
  <si>
    <t xml:space="preserve"> RD$236,870.02. Ajuste Débito por un valor de RD$1,495,727.50 en cumplimineto de la NICSP 11  de Construcciones en Proceso </t>
  </si>
  <si>
    <t>estos ajustes corresponde a las Notas de Créditos vencidas y no usadas por los clientes y otros ajustes de Notas de Créditos por</t>
  </si>
  <si>
    <t xml:space="preserve">por  anulación de  facturas  Proveedores de años anteriores por RD$51,047.33.Ajuste Débito  por Depreciación de Años 2019,2020,2021  </t>
  </si>
  <si>
    <t>no ejecutadas luego de varios años.Ajuste Crédito RD$130,490.61 instalación sistema SIAB.</t>
  </si>
  <si>
    <t>Resultado Financiero (1-2)</t>
  </si>
  <si>
    <t>Nota: Las retenciones en pagos a los trabajdores por beneficios a empleados están incluidas en otros pagos en este Fliujo de Efectivo</t>
  </si>
  <si>
    <t xml:space="preserve">                                   Relación de Ingresos de Captación Directa</t>
  </si>
  <si>
    <t>Sub-Total Neto Ingresos de Captación Directa</t>
  </si>
  <si>
    <t>Otros Ingresos:</t>
  </si>
  <si>
    <t>Asignación Presupuestaria del MICM</t>
  </si>
  <si>
    <t>Total Ingresos Año 2021</t>
  </si>
  <si>
    <t>Ingresos de Captación Directa</t>
  </si>
  <si>
    <t xml:space="preserve">                   Resumen de Ingresos</t>
  </si>
  <si>
    <t>Cuenta No.9995002001 en EUR  el negativo al 31/12/2021 del equivalente en Pesos  corresponde a que el</t>
  </si>
  <si>
    <t>El total del Lote No.179 es de RD$61,045.00 corresponden RD$17,560.00 al 31122021 y al 01012022 RD$43,485.00,</t>
  </si>
  <si>
    <t>Cardnet liquida lo del Mes de  Diciembre en Enero del 2022.</t>
  </si>
  <si>
    <t>1-Sub-Cuenta 9995003000 un balance en USD de $34,947.03 ,equivalente en RD$2,033,052.92</t>
  </si>
  <si>
    <t>2-Sub-Cuenta 00100022000 un balance en USD de $23,281.81,equivalente en RD$1,352,978.15</t>
  </si>
  <si>
    <t>de trabajos de Construcciones de la Ingeniera a la  Onapi por un valor de RD$1,616,329.37. Estas Cuentas se ana-</t>
  </si>
  <si>
    <t xml:space="preserve">la Ing. Acevedo.Se obtuvo como resultado respuestas via comunicaciones de las instituciones financieras:Banco </t>
  </si>
  <si>
    <t>BHD, León,Banco de Reservas de la República Dominicana, Banco Vimenca,Asociación Cibao de Ahorros y</t>
  </si>
  <si>
    <t>Préstamos,Banco Santa Cruz y Banco Caribe.</t>
  </si>
  <si>
    <t>lizaron con la documentación correspondiente para su posterior cobro.En año 2015, se procedió a la solicitud</t>
  </si>
  <si>
    <t>al Area de  Jurídica para los fines correspondientes.El estatus al 31/Dic. /2021 es que la ONAPI amparada en la</t>
  </si>
  <si>
    <t xml:space="preserve">Sentencia No.026-02-2020-SC IV-00386 por la Primera Sala de la Cámara  Civil  y Comercial de la Corte de         </t>
  </si>
  <si>
    <t>Apelación del D.N.,a cual conforme a Certificación de la Suprema Corte de Justicia no fue recurrida en casación</t>
  </si>
  <si>
    <t xml:space="preserve">y por tanto obtuvo la calidad de la cosa irrevocablemente juzgada,la ONAPI trabó embargo retentivo contra </t>
  </si>
  <si>
    <t xml:space="preserve">**Corresponde a Registro Contable No.152,387 del 30/06/2019 por un valor de RD$ 969,548.51.Según Sentencia </t>
  </si>
  <si>
    <t xml:space="preserve">No.2016-SSEN-00153, de el Tribunal Colegiado de la Cámara Penal del Juzgado de Primera Instancia del Distrito </t>
  </si>
  <si>
    <t xml:space="preserve">bunal  Nacional en  la cual condena a la imputada Sra. Patricia Sánchez Vásquez a la devolución  de los valores </t>
  </si>
  <si>
    <t>malversados y dejados de percibir por  el Estado Dominicano en los años 2010,2011. No ha sido objeto de apela-</t>
  </si>
  <si>
    <t>ción, por lo que el estatus al 31/12/2021 sigue igual.</t>
  </si>
  <si>
    <t xml:space="preserve">*-La Cuenta de Seguros de Averias de Maquinarias al 31-12-2021 no presenta balance debido a que la  ONAPI está </t>
  </si>
  <si>
    <t>a la espera de la factura de renovación, la cual  está en proceso de facturación.</t>
  </si>
  <si>
    <t xml:space="preserve">**-La Cuenta Otros Gastos Pagados Por Anticipados se crea en cumplimiento a la Circular No.04 del 18 de Nov. del </t>
  </si>
  <si>
    <t>2020 de la Dirección General de Contabilidad Gubernamental.</t>
  </si>
  <si>
    <t xml:space="preserve">*La partida de Automoviles corresponde a la adquisición de un Vehiculo Kia Soluto año 2021, fecha de registro Julio </t>
  </si>
  <si>
    <t>del 2021.</t>
  </si>
  <si>
    <t>de Nov. del 2020 de la Dirección General de Contabilidad Gubernamental.</t>
  </si>
  <si>
    <t xml:space="preserve">*-La Cuenta de Licencia de Programas no presenta balance al 31122021,en cumplimiento a la Circular No.04 del 18 </t>
  </si>
  <si>
    <t xml:space="preserve">RELACION DE CUENTAS POR PAGAR POR ANTIGUEDAD DE SALDOS </t>
  </si>
  <si>
    <t>AL 31 DE DICIEMBRE  DEL 2021</t>
  </si>
  <si>
    <t>FEHA DE FACTURA</t>
  </si>
  <si>
    <t>FACTURA No.</t>
  </si>
  <si>
    <t>NOMBRE PROVEEDOR</t>
  </si>
  <si>
    <t xml:space="preserve">DESCRIPCION </t>
  </si>
  <si>
    <t>VALOR  NETO RD$</t>
  </si>
  <si>
    <t>FECHA DE FACTURA</t>
  </si>
  <si>
    <t>IMPUESTOS</t>
  </si>
  <si>
    <t>TOTAL BRUTO</t>
  </si>
  <si>
    <t>OBSERVACIONES</t>
  </si>
  <si>
    <t>A010010011500000006</t>
  </si>
  <si>
    <t>COMERCIAL ANDALUCIA SRL</t>
  </si>
  <si>
    <t>COPAS DE CRISTAL</t>
  </si>
  <si>
    <t>A LA ESPERA DE SOLICITUD AREA DE COMPRAS</t>
  </si>
  <si>
    <t>DA-12016-248</t>
  </si>
  <si>
    <t>R-SOSA CONSTRUCTORA</t>
  </si>
  <si>
    <t>CONSTRUCCION 4TO NIVEL ONAPI</t>
  </si>
  <si>
    <t>A LA ESPERA DE FACTURA PARA CIERRE</t>
  </si>
  <si>
    <t>SUB-TOTAL NETO</t>
  </si>
  <si>
    <t>B1500000108</t>
  </si>
  <si>
    <t>ST CROIX,S.R.L.</t>
  </si>
  <si>
    <t>MANT. Y REPARACION DE AIRES ACONDICIONADOS</t>
  </si>
  <si>
    <t>RCT00000000001597</t>
  </si>
  <si>
    <t>RCT00000000001587</t>
  </si>
  <si>
    <t>B1500000525.</t>
  </si>
  <si>
    <t>B1500000210</t>
  </si>
  <si>
    <t>B1500003949</t>
  </si>
  <si>
    <t>B1500114346</t>
  </si>
  <si>
    <t>COMPAÑIA DOMINICANA DE TELEFONOS, C. POR A.</t>
  </si>
  <si>
    <t>B1500000001</t>
  </si>
  <si>
    <t>RCT00000000001612</t>
  </si>
  <si>
    <t>B1500000053</t>
  </si>
  <si>
    <t>HUASCAR ANTONIO TAVAREZ GUZMAN</t>
  </si>
  <si>
    <t>RCT00000000001596</t>
  </si>
  <si>
    <t>RCT00000000001611</t>
  </si>
  <si>
    <t>B1500000071.</t>
  </si>
  <si>
    <t>B1500002457</t>
  </si>
  <si>
    <t>B1500002491</t>
  </si>
  <si>
    <t>B1500002498</t>
  </si>
  <si>
    <t>B1500002507</t>
  </si>
  <si>
    <t>B1500001855</t>
  </si>
  <si>
    <t>B1500001910</t>
  </si>
  <si>
    <t>B1500000657</t>
  </si>
  <si>
    <t>B1500000054</t>
  </si>
  <si>
    <t>B1500000346</t>
  </si>
  <si>
    <t>B1500000151</t>
  </si>
  <si>
    <t>B1500000056</t>
  </si>
  <si>
    <t>RAMON MARCELINO TREMOLS</t>
  </si>
  <si>
    <t>B1500019646.</t>
  </si>
  <si>
    <t>B1500005492</t>
  </si>
  <si>
    <t>SEGURO NACIONAL DE SALUD</t>
  </si>
  <si>
    <t>B1500001963</t>
  </si>
  <si>
    <t>B1500001962.</t>
  </si>
  <si>
    <t>B1500000831</t>
  </si>
  <si>
    <t>B1500002189</t>
  </si>
  <si>
    <t>GTG INDUSTRIAL,S.R.L.</t>
  </si>
  <si>
    <t>B1500000296</t>
  </si>
  <si>
    <t>AUTOCENTRO DUARTE HERRERA</t>
  </si>
  <si>
    <t>B1500002567</t>
  </si>
  <si>
    <t>B1500000161</t>
  </si>
  <si>
    <t>MARINO RAMIREZ GRULLON</t>
  </si>
  <si>
    <t>B1500262768</t>
  </si>
  <si>
    <t>EDESUR, S.A.</t>
  </si>
  <si>
    <t>TOTAL GENERAL</t>
  </si>
  <si>
    <t>NEW IMAGE SOLUTIONS AND MARKETING, S.R.L.</t>
  </si>
  <si>
    <t>INVERSIONES CORPORATIVAS SALADILLO S.R..L.</t>
  </si>
  <si>
    <t>PUBLICACIONES AHORA, C. POR A.</t>
  </si>
  <si>
    <t>SERVICIOS E INSTALACIONES TECNICAS, S.R.L.</t>
  </si>
  <si>
    <t>INVERSIONES ENVECO, S.R.L.</t>
  </si>
  <si>
    <t>PERKIN NEGOCIO, S.R.L.</t>
  </si>
  <si>
    <t>GILGAMI GROUP, S.R.L.</t>
  </si>
  <si>
    <t>MERCANTIL RAMI, S.R.L.</t>
  </si>
  <si>
    <t>SERVICIOS EMPRESARIALES CANAAN, S.R.L.</t>
  </si>
  <si>
    <t>AENOR DOMINICANA, S.R.L.</t>
  </si>
  <si>
    <t>EROLAS, S.R.L.</t>
  </si>
  <si>
    <t>AGENCIA DE VIAJES MILENA TOURS, S.R.L.</t>
  </si>
  <si>
    <t>PRODUCTORA LEDESMA G, EIRL</t>
  </si>
  <si>
    <t>INVERSIONES SIURANA, S.R.L.</t>
  </si>
  <si>
    <t>SANTO DOMINGO MOTORS COMPANY, S.A.</t>
  </si>
  <si>
    <t>RAMIREZ &amp; MOJICA ENVOY PACK COURIER EXPRESS, S.R.L.</t>
  </si>
  <si>
    <t xml:space="preserve">                         Encargado Contabilidad </t>
  </si>
  <si>
    <t xml:space="preserve">                    Encargado Financiero </t>
  </si>
  <si>
    <t xml:space="preserve">                                                                                                         Del Ministro y/o Director General</t>
  </si>
  <si>
    <t xml:space="preserve">                                OFICINA NACIONAL DE LA PROPIEDAD INDUSTRIAL </t>
  </si>
  <si>
    <t xml:space="preserve">                            RELACION DE AJUSTES DE AÑOS ANTERIORES AÑO 2021</t>
  </si>
  <si>
    <t>DESCRIPCION</t>
  </si>
  <si>
    <t xml:space="preserve">DEBITO </t>
  </si>
  <si>
    <t>CREDITO</t>
  </si>
  <si>
    <t>NOTAS DE CREDITO VENCIDAS NO USADAS POR LOS CLIENTES AÑO 2021 Y  OTROS AJUSTES DE NOTAS DE CREDITO DE AÑOS ANTERIORES</t>
  </si>
  <si>
    <t>AJUSTE POR INSTALACION SISTEMA SIAB RUBRO SCANNER</t>
  </si>
  <si>
    <t>AJUSTES POR SOBRANTE EN LIQ. CHEQUES AÑOS ANTERIORES LUEGO DEL CIERRE CHEQUES Nos.554 y 555</t>
  </si>
  <si>
    <t>ANULACION DE FACTURAS DE AÑOS ANTERIORES  PROVEEDORES  COMPU-OFFICES FACTURA No.B15000000621</t>
  </si>
  <si>
    <t>AJUSTES POR DEPURACION PROVEEDORES AÑOS ANTERIORES</t>
  </si>
  <si>
    <t>ANULACION DE FACTURAS DE AÑOS ANTERIORES  PROVEEDORES ARGICO SAS No.B15000000670</t>
  </si>
  <si>
    <t>AJUSTE POR CUMPLIMIENTO AL CATALOGO DE BIENES DEL ESTADO RUBRO CODIGO No.24101601 ASCENSOR QUE ESTABA EN MEJORAS DE PROPIEDAD DEL ESTADO ANTES DE INSTALACION DEL SIAB 2019,2020,2021</t>
  </si>
  <si>
    <t>PROYECTO DE SANTIAGO DECISION TOMADA DE NO SEGUIR REALIZAR EL PROYECTO .REGISTRO DE TRANSFERENCIA DEL MONTO DE CONSTRUCCIONES DE OBRAS EN PROCESO A AJUSTES DE AÑOS ANTERIORES DE ACUERDO A LA NICSP 11 EN CASO SE  DECIDA NO CONTINUAR CONSTRUYENDO SE EVALUARA LA POSIBILIDAD DE LLEVAR A PERDIDA. DEBIDO A QUE EL PERIODO 2019 ESTA CERRADO SE LLEVA A AJUSTES DE AÑOS ANTERIORES.</t>
  </si>
  <si>
    <t>TOTAL DEBITOS</t>
  </si>
  <si>
    <t>TOTAL NETO DEBITO Y CREDITOS DE AJUSTES</t>
  </si>
  <si>
    <t>DIVISION DE CONTABILIDAD</t>
  </si>
  <si>
    <t>PREPARADO POR</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</si>
</sst>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0\ _P_t_s_-;\-* #,##0.00\ _P_t_s_-;_-* &quot;-&quot;??\ _P_t_s_-;_-@_-"/>
    <numFmt numFmtId="179" formatCode="#,##0.00\ _€"/>
    <numFmt numFmtId="180" formatCode="#,##0.0_);\(#,##0.0\)"/>
    <numFmt numFmtId="181" formatCode="#,##0.00_ ;\-#,##0.00\ "/>
    <numFmt numFmtId="182" formatCode="#,##0.0000000_ ;\-#,##0.0000000\ "/>
    <numFmt numFmtId="183" formatCode="#,##0.00;[Red]#,##0.00"/>
    <numFmt numFmtId="184" formatCode="#,##0.00000000_ ;\-#,##0.00000000\ "/>
    <numFmt numFmtId="185" formatCode="#,##0.0"/>
    <numFmt numFmtId="186" formatCode="&quot;$&quot;#,##0.00"/>
    <numFmt numFmtId="187" formatCode="#,##0.000_ ;\-#,##0.000\ "/>
    <numFmt numFmtId="188" formatCode="#,##0.000_);\(#,##0.000\)"/>
    <numFmt numFmtId="189" formatCode="#,##0.0000000000_ ;\-#,##0.0000000000\ "/>
    <numFmt numFmtId="190" formatCode="#,##0.00000000000_ ;\-#,##0.00000000000\ "/>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dd/mm/yyyy;@"/>
    <numFmt numFmtId="198" formatCode="mm/dd/yyyy;@"/>
  </numFmts>
  <fonts count="153">
    <font>
      <sz val="11"/>
      <color theme="1"/>
      <name val="Calibri"/>
      <family val="2"/>
    </font>
    <font>
      <sz val="11"/>
      <color indexed="8"/>
      <name val="Calibri"/>
      <family val="2"/>
    </font>
    <font>
      <sz val="10"/>
      <name val="Arial"/>
      <family val="2"/>
    </font>
    <font>
      <sz val="9"/>
      <name val="Arial"/>
      <family val="2"/>
    </font>
    <font>
      <b/>
      <u val="single"/>
      <sz val="9"/>
      <name val="Times New Roman"/>
      <family val="1"/>
    </font>
    <font>
      <b/>
      <sz val="10"/>
      <name val="Arial"/>
      <family val="2"/>
    </font>
    <font>
      <sz val="10"/>
      <name val="Book Antiqua"/>
      <family val="1"/>
    </font>
    <font>
      <b/>
      <sz val="14"/>
      <name val="Book Antiqua"/>
      <family val="1"/>
    </font>
    <font>
      <b/>
      <sz val="10"/>
      <name val="Book Antiqua"/>
      <family val="1"/>
    </font>
    <font>
      <b/>
      <sz val="11"/>
      <name val="Book Antiqua"/>
      <family val="1"/>
    </font>
    <font>
      <b/>
      <sz val="12"/>
      <name val="Arial"/>
      <family val="2"/>
    </font>
    <font>
      <b/>
      <sz val="20"/>
      <name val="Book Antiqua"/>
      <family val="1"/>
    </font>
    <font>
      <b/>
      <sz val="12"/>
      <name val="Book Antiqua"/>
      <family val="1"/>
    </font>
    <font>
      <sz val="12"/>
      <name val="Book Antiqua"/>
      <family val="1"/>
    </font>
    <font>
      <sz val="14"/>
      <name val="Book Antiqua"/>
      <family val="1"/>
    </font>
    <font>
      <sz val="20"/>
      <name val="Arial"/>
      <family val="2"/>
    </font>
    <font>
      <b/>
      <sz val="9"/>
      <name val="Book Antiqua"/>
      <family val="1"/>
    </font>
    <font>
      <sz val="9"/>
      <name val="Book Antiqua"/>
      <family val="1"/>
    </font>
    <font>
      <b/>
      <sz val="14"/>
      <name val="Times New Roman"/>
      <family val="1"/>
    </font>
    <font>
      <b/>
      <sz val="9"/>
      <name val="Tahoma"/>
      <family val="2"/>
    </font>
    <font>
      <sz val="12"/>
      <color indexed="10"/>
      <name val="Book Antiqua"/>
      <family val="1"/>
    </font>
    <font>
      <sz val="12"/>
      <name val="Arial"/>
      <family val="2"/>
    </font>
    <font>
      <sz val="14"/>
      <name val="Times New Roman"/>
      <family val="1"/>
    </font>
    <font>
      <b/>
      <sz val="12"/>
      <name val="Times New Roman"/>
      <family val="1"/>
    </font>
    <font>
      <sz val="11"/>
      <name val="Calibri"/>
      <family val="2"/>
    </font>
    <font>
      <b/>
      <i/>
      <sz val="10"/>
      <name val="Book Antiqua"/>
      <family val="1"/>
    </font>
    <font>
      <b/>
      <i/>
      <sz val="10"/>
      <name val="Arial"/>
      <family val="2"/>
    </font>
    <font>
      <b/>
      <sz val="16"/>
      <name val="Book Antiqua"/>
      <family val="1"/>
    </font>
    <font>
      <b/>
      <sz val="11"/>
      <color indexed="8"/>
      <name val="Times New Roman"/>
      <family val="1"/>
    </font>
    <font>
      <b/>
      <sz val="11"/>
      <name val="Times New Roman"/>
      <family val="1"/>
    </font>
    <font>
      <sz val="11"/>
      <name val="Times New Roman"/>
      <family val="1"/>
    </font>
    <font>
      <b/>
      <sz val="12"/>
      <color indexed="63"/>
      <name val="Times New Roman"/>
      <family val="1"/>
    </font>
    <font>
      <b/>
      <u val="single"/>
      <sz val="11"/>
      <name val="Times New Roman"/>
      <family val="1"/>
    </font>
    <font>
      <u val="single"/>
      <sz val="11"/>
      <name val="Times New Roman"/>
      <family val="1"/>
    </font>
    <font>
      <sz val="11"/>
      <color indexed="10"/>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Book Antiqua"/>
      <family val="1"/>
    </font>
    <font>
      <b/>
      <sz val="12"/>
      <color indexed="8"/>
      <name val="Arial"/>
      <family val="2"/>
    </font>
    <font>
      <sz val="10"/>
      <color indexed="8"/>
      <name val="Book Antiqua"/>
      <family val="1"/>
    </font>
    <font>
      <sz val="12"/>
      <color indexed="8"/>
      <name val="Book Antiqua"/>
      <family val="1"/>
    </font>
    <font>
      <sz val="11"/>
      <color indexed="12"/>
      <name val="Calibri"/>
      <family val="2"/>
    </font>
    <font>
      <sz val="12"/>
      <color indexed="8"/>
      <name val="Calibri"/>
      <family val="2"/>
    </font>
    <font>
      <sz val="12"/>
      <color indexed="9"/>
      <name val="Book Antiqua"/>
      <family val="1"/>
    </font>
    <font>
      <sz val="12"/>
      <color indexed="9"/>
      <name val="Calibri"/>
      <family val="2"/>
    </font>
    <font>
      <b/>
      <sz val="12"/>
      <color indexed="8"/>
      <name val="Book Antiqua"/>
      <family val="1"/>
    </font>
    <font>
      <b/>
      <sz val="12"/>
      <color indexed="9"/>
      <name val="Book Antiqua"/>
      <family val="1"/>
    </font>
    <font>
      <b/>
      <sz val="14"/>
      <color indexed="8"/>
      <name val="Calibri"/>
      <family val="2"/>
    </font>
    <font>
      <sz val="14"/>
      <color indexed="8"/>
      <name val="Calibri"/>
      <family val="2"/>
    </font>
    <font>
      <b/>
      <sz val="12"/>
      <color indexed="8"/>
      <name val="Calibri"/>
      <family val="2"/>
    </font>
    <font>
      <sz val="11"/>
      <color indexed="8"/>
      <name val="Book Antiqua"/>
      <family val="1"/>
    </font>
    <font>
      <b/>
      <i/>
      <sz val="11"/>
      <color indexed="8"/>
      <name val="Book Antiqua"/>
      <family val="1"/>
    </font>
    <font>
      <b/>
      <i/>
      <sz val="11"/>
      <color indexed="8"/>
      <name val="Calibri"/>
      <family val="2"/>
    </font>
    <font>
      <sz val="13"/>
      <color indexed="8"/>
      <name val="Times New Roman"/>
      <family val="1"/>
    </font>
    <font>
      <b/>
      <sz val="11"/>
      <name val="Calibri"/>
      <family val="2"/>
    </font>
    <font>
      <sz val="10"/>
      <color indexed="9"/>
      <name val="Arial"/>
      <family val="2"/>
    </font>
    <font>
      <sz val="10"/>
      <color indexed="26"/>
      <name val="Arial"/>
      <family val="2"/>
    </font>
    <font>
      <sz val="11"/>
      <color indexed="8"/>
      <name val="Times New Roman"/>
      <family val="1"/>
    </font>
    <font>
      <u val="single"/>
      <sz val="11"/>
      <color indexed="8"/>
      <name val="Times New Roman"/>
      <family val="1"/>
    </font>
    <font>
      <b/>
      <sz val="11"/>
      <color indexed="63"/>
      <name val="Times New Roman"/>
      <family val="1"/>
    </font>
    <font>
      <sz val="14"/>
      <color indexed="9"/>
      <name val="Times New Roman"/>
      <family val="1"/>
    </font>
    <font>
      <b/>
      <sz val="14"/>
      <color indexed="9"/>
      <name val="Book Antiqua"/>
      <family val="1"/>
    </font>
    <font>
      <sz val="10"/>
      <color indexed="9"/>
      <name val="Book Antiqua"/>
      <family val="1"/>
    </font>
    <font>
      <b/>
      <sz val="12"/>
      <color indexed="9"/>
      <name val="Calibri"/>
      <family val="2"/>
    </font>
    <font>
      <sz val="14"/>
      <color indexed="9"/>
      <name val="Calibri"/>
      <family val="2"/>
    </font>
    <font>
      <sz val="14"/>
      <color indexed="9"/>
      <name val="Book Antiqua"/>
      <family val="1"/>
    </font>
    <font>
      <b/>
      <sz val="10"/>
      <color indexed="9"/>
      <name val="Book Antiqua"/>
      <family val="1"/>
    </font>
    <font>
      <b/>
      <sz val="11"/>
      <color indexed="10"/>
      <name val="Times New Roman"/>
      <family val="1"/>
    </font>
    <font>
      <sz val="11"/>
      <color indexed="60"/>
      <name val="Times New Roman"/>
      <family val="1"/>
    </font>
    <font>
      <b/>
      <sz val="6"/>
      <color indexed="8"/>
      <name val="Times New Roman"/>
      <family val="1"/>
    </font>
    <font>
      <b/>
      <u val="single"/>
      <sz val="11"/>
      <color indexed="8"/>
      <name val="Times New Roman"/>
      <family val="1"/>
    </font>
    <font>
      <b/>
      <u val="double"/>
      <sz val="11"/>
      <color indexed="8"/>
      <name val="Times New Roman"/>
      <family val="1"/>
    </font>
    <font>
      <b/>
      <sz val="12"/>
      <color indexed="8"/>
      <name val="Times New Roman"/>
      <family val="1"/>
    </font>
    <font>
      <b/>
      <sz val="20"/>
      <color indexed="8"/>
      <name val="Calibri"/>
      <family val="2"/>
    </font>
    <font>
      <sz val="11"/>
      <color indexed="9"/>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Book Antiqua"/>
      <family val="1"/>
    </font>
    <font>
      <b/>
      <sz val="12"/>
      <color theme="1"/>
      <name val="Arial"/>
      <family val="2"/>
    </font>
    <font>
      <sz val="10"/>
      <color theme="1"/>
      <name val="Book Antiqua"/>
      <family val="1"/>
    </font>
    <font>
      <sz val="12"/>
      <color theme="1"/>
      <name val="Book Antiqua"/>
      <family val="1"/>
    </font>
    <font>
      <sz val="11"/>
      <color theme="10"/>
      <name val="Calibri"/>
      <family val="2"/>
    </font>
    <font>
      <sz val="12"/>
      <color theme="1"/>
      <name val="Calibri"/>
      <family val="2"/>
    </font>
    <font>
      <sz val="12"/>
      <color theme="0"/>
      <name val="Book Antiqua"/>
      <family val="1"/>
    </font>
    <font>
      <sz val="12"/>
      <color theme="0"/>
      <name val="Calibri"/>
      <family val="2"/>
    </font>
    <font>
      <b/>
      <sz val="12"/>
      <color theme="1"/>
      <name val="Book Antiqua"/>
      <family val="1"/>
    </font>
    <font>
      <b/>
      <sz val="12"/>
      <color theme="0"/>
      <name val="Book Antiqua"/>
      <family val="1"/>
    </font>
    <font>
      <b/>
      <sz val="14"/>
      <color theme="1"/>
      <name val="Calibri"/>
      <family val="2"/>
    </font>
    <font>
      <sz val="14"/>
      <color theme="1"/>
      <name val="Calibri"/>
      <family val="2"/>
    </font>
    <font>
      <sz val="12"/>
      <color rgb="FFFF0000"/>
      <name val="Book Antiqua"/>
      <family val="1"/>
    </font>
    <font>
      <b/>
      <sz val="12"/>
      <color theme="1"/>
      <name val="Calibri"/>
      <family val="2"/>
    </font>
    <font>
      <sz val="11"/>
      <color theme="1"/>
      <name val="Book Antiqua"/>
      <family val="1"/>
    </font>
    <font>
      <b/>
      <i/>
      <sz val="11"/>
      <color theme="1"/>
      <name val="Book Antiqua"/>
      <family val="1"/>
    </font>
    <font>
      <b/>
      <i/>
      <sz val="11"/>
      <color theme="1"/>
      <name val="Calibri"/>
      <family val="2"/>
    </font>
    <font>
      <sz val="13"/>
      <color theme="1"/>
      <name val="Times New Roman"/>
      <family val="1"/>
    </font>
    <font>
      <sz val="10"/>
      <color theme="0"/>
      <name val="Arial"/>
      <family val="2"/>
    </font>
    <font>
      <sz val="10"/>
      <color theme="2"/>
      <name val="Arial"/>
      <family val="2"/>
    </font>
    <font>
      <sz val="11"/>
      <color theme="1"/>
      <name val="Times New Roman"/>
      <family val="1"/>
    </font>
    <font>
      <b/>
      <sz val="11"/>
      <color theme="1"/>
      <name val="Times New Roman"/>
      <family val="1"/>
    </font>
    <font>
      <sz val="11"/>
      <color rgb="FFFF0000"/>
      <name val="Times New Roman"/>
      <family val="1"/>
    </font>
    <font>
      <u val="single"/>
      <sz val="11"/>
      <color theme="1"/>
      <name val="Times New Roman"/>
      <family val="1"/>
    </font>
    <font>
      <b/>
      <sz val="11"/>
      <color rgb="FF231F20"/>
      <name val="Times New Roman"/>
      <family val="1"/>
    </font>
    <font>
      <b/>
      <sz val="11"/>
      <color rgb="FF000000"/>
      <name val="Times New Roman"/>
      <family val="1"/>
    </font>
    <font>
      <sz val="14"/>
      <color theme="0"/>
      <name val="Times New Roman"/>
      <family val="1"/>
    </font>
    <font>
      <b/>
      <sz val="14"/>
      <color theme="0"/>
      <name val="Book Antiqua"/>
      <family val="1"/>
    </font>
    <font>
      <sz val="10"/>
      <color theme="0"/>
      <name val="Book Antiqua"/>
      <family val="1"/>
    </font>
    <font>
      <b/>
      <sz val="12"/>
      <color theme="0"/>
      <name val="Calibri"/>
      <family val="2"/>
    </font>
    <font>
      <sz val="14"/>
      <color theme="0"/>
      <name val="Calibri"/>
      <family val="2"/>
    </font>
    <font>
      <sz val="14"/>
      <color theme="0"/>
      <name val="Book Antiqua"/>
      <family val="1"/>
    </font>
    <font>
      <b/>
      <sz val="10"/>
      <color theme="0"/>
      <name val="Book Antiqua"/>
      <family val="1"/>
    </font>
    <font>
      <b/>
      <sz val="11"/>
      <color rgb="FFFF0000"/>
      <name val="Times New Roman"/>
      <family val="1"/>
    </font>
    <font>
      <sz val="11"/>
      <color rgb="FFC00000"/>
      <name val="Times New Roman"/>
      <family val="1"/>
    </font>
    <font>
      <b/>
      <sz val="6"/>
      <color theme="1"/>
      <name val="Times New Roman"/>
      <family val="1"/>
    </font>
    <font>
      <b/>
      <u val="single"/>
      <sz val="11"/>
      <color theme="1"/>
      <name val="Times New Roman"/>
      <family val="1"/>
    </font>
    <font>
      <b/>
      <u val="double"/>
      <sz val="11"/>
      <color theme="1"/>
      <name val="Times New Roman"/>
      <family val="1"/>
    </font>
    <font>
      <b/>
      <sz val="12"/>
      <color theme="1"/>
      <name val="Times New Roman"/>
      <family val="1"/>
    </font>
    <font>
      <sz val="11"/>
      <color rgb="FF000000"/>
      <name val="Times New Roman"/>
      <family val="2"/>
    </font>
    <font>
      <b/>
      <sz val="12"/>
      <color rgb="FF000000"/>
      <name val="Times New Roman"/>
      <family val="1"/>
    </font>
    <font>
      <b/>
      <sz val="20"/>
      <color theme="1"/>
      <name val="Calibri"/>
      <family val="2"/>
    </font>
    <font>
      <sz val="11"/>
      <color theme="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double"/>
    </border>
    <border>
      <left/>
      <right/>
      <top/>
      <bottom style="double"/>
    </border>
    <border>
      <left/>
      <right/>
      <top style="thin"/>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
      <left/>
      <right/>
      <top style="medium"/>
      <bottom style="double"/>
    </border>
    <border>
      <left/>
      <right/>
      <top style="double"/>
      <bottom style="thin"/>
    </border>
    <border>
      <left/>
      <right/>
      <top style="thin"/>
      <bottom/>
    </border>
    <border>
      <left/>
      <right/>
      <top style="double"/>
      <bottom style="medium"/>
    </border>
    <border>
      <left/>
      <right/>
      <top style="medium"/>
      <bottom/>
    </border>
    <border>
      <left style="thin"/>
      <right style="thin"/>
      <top style="thin"/>
      <bottom style="thin"/>
    </border>
    <border>
      <left style="medium"/>
      <right/>
      <top>
        <color indexed="63"/>
      </top>
      <bottom style="medium"/>
    </border>
    <border>
      <left/>
      <right style="medium"/>
      <top>
        <color indexed="63"/>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1" borderId="1" applyNumberFormat="0" applyAlignment="0" applyProtection="0"/>
    <xf numFmtId="0" fontId="94" fillId="22" borderId="2" applyNumberFormat="0" applyAlignment="0" applyProtection="0"/>
    <xf numFmtId="0" fontId="95" fillId="0" borderId="3" applyNumberFormat="0" applyFill="0" applyAlignment="0" applyProtection="0"/>
    <xf numFmtId="0" fontId="96" fillId="0" borderId="0" applyNumberFormat="0" applyFill="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7" fillId="29" borderId="1"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30" borderId="0" applyNumberFormat="0" applyBorder="0" applyAlignment="0" applyProtection="0"/>
    <xf numFmtId="0" fontId="1" fillId="0" borderId="0" applyFont="0" applyFill="0" applyBorder="0" applyAlignment="0" applyProtection="0"/>
    <xf numFmtId="175" fontId="0" fillId="0" borderId="0" applyFont="0" applyFill="0" applyBorder="0" applyAlignment="0" applyProtection="0"/>
    <xf numFmtId="178" fontId="2" fillId="0" borderId="0" applyFont="0" applyFill="0" applyBorder="0" applyAlignment="0" applyProtection="0"/>
    <xf numFmtId="0"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1" fillId="31" borderId="0" applyNumberFormat="0" applyBorder="0" applyAlignment="0" applyProtection="0"/>
    <xf numFmtId="0" fontId="0" fillId="0" borderId="0">
      <alignment/>
      <protection/>
    </xf>
    <xf numFmtId="0" fontId="2" fillId="0" borderId="0">
      <alignment/>
      <protection/>
    </xf>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9" fontId="0" fillId="0" borderId="0" applyFont="0" applyFill="0" applyBorder="0" applyAlignment="0" applyProtection="0"/>
    <xf numFmtId="0" fontId="102" fillId="21" borderId="5"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0" borderId="7" applyNumberFormat="0" applyFill="0" applyAlignment="0" applyProtection="0"/>
    <xf numFmtId="0" fontId="96" fillId="0" borderId="8" applyNumberFormat="0" applyFill="0" applyAlignment="0" applyProtection="0"/>
    <xf numFmtId="0" fontId="108" fillId="0" borderId="9" applyNumberFormat="0" applyFill="0" applyAlignment="0" applyProtection="0"/>
  </cellStyleXfs>
  <cellXfs count="505">
    <xf numFmtId="0" fontId="0" fillId="0" borderId="0" xfId="0" applyFont="1" applyAlignment="1">
      <alignment/>
    </xf>
    <xf numFmtId="178" fontId="2" fillId="0" borderId="0" xfId="50" applyFont="1" applyAlignment="1">
      <alignment/>
    </xf>
    <xf numFmtId="0" fontId="3" fillId="0" borderId="0" xfId="56" applyFont="1">
      <alignment/>
      <protection/>
    </xf>
    <xf numFmtId="178" fontId="2" fillId="0" borderId="0" xfId="50" applyFont="1" applyBorder="1" applyAlignment="1">
      <alignment horizontal="right"/>
    </xf>
    <xf numFmtId="0" fontId="0" fillId="0" borderId="0" xfId="0" applyFill="1" applyAlignment="1">
      <alignment/>
    </xf>
    <xf numFmtId="0" fontId="0" fillId="0" borderId="0" xfId="0" applyAlignment="1">
      <alignment/>
    </xf>
    <xf numFmtId="0" fontId="6" fillId="0" borderId="0" xfId="0" applyFont="1" applyAlignment="1">
      <alignment/>
    </xf>
    <xf numFmtId="0" fontId="6" fillId="0" borderId="0" xfId="48" applyFont="1" applyFill="1" applyAlignment="1">
      <alignment/>
    </xf>
    <xf numFmtId="0" fontId="9" fillId="0" borderId="10" xfId="48" applyFont="1" applyFill="1" applyBorder="1" applyAlignment="1">
      <alignment/>
    </xf>
    <xf numFmtId="0" fontId="0" fillId="0" borderId="0" xfId="0" applyBorder="1" applyAlignment="1">
      <alignment/>
    </xf>
    <xf numFmtId="0" fontId="13" fillId="0" borderId="0" xfId="0" applyFont="1" applyAlignment="1">
      <alignment/>
    </xf>
    <xf numFmtId="0" fontId="8" fillId="0" borderId="0" xfId="48" applyFont="1" applyFill="1" applyAlignment="1">
      <alignment/>
    </xf>
    <xf numFmtId="0" fontId="6" fillId="0" borderId="0" xfId="48" applyFont="1" applyFill="1" applyBorder="1" applyAlignment="1">
      <alignment/>
    </xf>
    <xf numFmtId="0" fontId="6" fillId="0" borderId="0" xfId="0" applyFont="1" applyFill="1" applyAlignment="1">
      <alignment/>
    </xf>
    <xf numFmtId="39" fontId="0" fillId="0" borderId="0" xfId="0" applyNumberFormat="1" applyBorder="1" applyAlignment="1">
      <alignment/>
    </xf>
    <xf numFmtId="39" fontId="5" fillId="0" borderId="11" xfId="0" applyNumberFormat="1" applyFont="1" applyFill="1" applyBorder="1" applyAlignment="1">
      <alignment/>
    </xf>
    <xf numFmtId="179" fontId="5" fillId="0" borderId="10" xfId="0" applyNumberFormat="1" applyFont="1" applyFill="1" applyBorder="1" applyAlignment="1">
      <alignment/>
    </xf>
    <xf numFmtId="39" fontId="6" fillId="0" borderId="0" xfId="0" applyNumberFormat="1" applyFont="1" applyFill="1" applyAlignment="1">
      <alignment/>
    </xf>
    <xf numFmtId="39" fontId="0" fillId="0" borderId="0" xfId="0" applyNumberFormat="1" applyAlignment="1">
      <alignment/>
    </xf>
    <xf numFmtId="0" fontId="8" fillId="0" borderId="10" xfId="48" applyFont="1" applyFill="1" applyBorder="1" applyAlignment="1">
      <alignment/>
    </xf>
    <xf numFmtId="0" fontId="9" fillId="0" borderId="0" xfId="48" applyFont="1" applyFill="1" applyBorder="1" applyAlignment="1">
      <alignment/>
    </xf>
    <xf numFmtId="0" fontId="8" fillId="0" borderId="0" xfId="0" applyFont="1" applyFill="1" applyAlignment="1">
      <alignment horizontal="left"/>
    </xf>
    <xf numFmtId="0" fontId="8" fillId="0" borderId="0" xfId="0" applyFont="1" applyFill="1" applyAlignment="1">
      <alignment horizontal="right"/>
    </xf>
    <xf numFmtId="0" fontId="8" fillId="0" borderId="0" xfId="0" applyFont="1" applyFill="1" applyAlignment="1">
      <alignment horizontal="center"/>
    </xf>
    <xf numFmtId="0" fontId="6" fillId="0" borderId="0" xfId="48" applyFont="1" applyFill="1" applyAlignment="1">
      <alignment horizontal="center"/>
    </xf>
    <xf numFmtId="0" fontId="6" fillId="0" borderId="0" xfId="48" applyFont="1" applyFill="1" applyAlignment="1">
      <alignment/>
    </xf>
    <xf numFmtId="0" fontId="8" fillId="0" borderId="0" xfId="0" applyFont="1" applyFill="1" applyAlignment="1">
      <alignment/>
    </xf>
    <xf numFmtId="0" fontId="8" fillId="0" borderId="12" xfId="48" applyFont="1" applyFill="1" applyBorder="1" applyAlignment="1">
      <alignment horizontal="center"/>
    </xf>
    <xf numFmtId="0" fontId="8" fillId="0" borderId="12" xfId="48" applyFont="1" applyFill="1" applyBorder="1" applyAlignment="1">
      <alignment/>
    </xf>
    <xf numFmtId="0" fontId="8" fillId="0" borderId="0" xfId="48" applyFont="1" applyFill="1" applyBorder="1" applyAlignment="1">
      <alignment/>
    </xf>
    <xf numFmtId="0" fontId="108" fillId="0" borderId="0" xfId="0" applyFont="1" applyAlignment="1">
      <alignment/>
    </xf>
    <xf numFmtId="4" fontId="6" fillId="0" borderId="0" xfId="48" applyNumberFormat="1" applyFont="1" applyFill="1" applyAlignment="1">
      <alignment/>
    </xf>
    <xf numFmtId="0" fontId="6" fillId="0" borderId="0" xfId="55" applyFont="1">
      <alignment/>
      <protection/>
    </xf>
    <xf numFmtId="0" fontId="7" fillId="0" borderId="0" xfId="55" applyFont="1" applyAlignment="1">
      <alignment horizontal="center"/>
      <protection/>
    </xf>
    <xf numFmtId="0" fontId="8" fillId="0" borderId="0" xfId="55" applyFont="1">
      <alignment/>
      <protection/>
    </xf>
    <xf numFmtId="0" fontId="7" fillId="0" borderId="0" xfId="55" applyFont="1">
      <alignment/>
      <protection/>
    </xf>
    <xf numFmtId="39" fontId="0" fillId="0" borderId="13" xfId="0" applyNumberFormat="1" applyBorder="1" applyAlignment="1">
      <alignment/>
    </xf>
    <xf numFmtId="178" fontId="9" fillId="0" borderId="10" xfId="50" applyFont="1" applyBorder="1" applyAlignment="1">
      <alignment/>
    </xf>
    <xf numFmtId="0" fontId="0" fillId="0" borderId="0" xfId="55">
      <alignment/>
      <protection/>
    </xf>
    <xf numFmtId="178" fontId="9" fillId="0" borderId="10" xfId="50" applyFont="1" applyFill="1" applyBorder="1" applyAlignment="1">
      <alignment/>
    </xf>
    <xf numFmtId="0" fontId="9" fillId="0" borderId="10" xfId="55" applyFont="1" applyBorder="1">
      <alignment/>
      <protection/>
    </xf>
    <xf numFmtId="0" fontId="2" fillId="0" borderId="0" xfId="55" applyFont="1">
      <alignment/>
      <protection/>
    </xf>
    <xf numFmtId="0" fontId="10" fillId="0" borderId="14" xfId="55" applyFont="1" applyBorder="1">
      <alignment/>
      <protection/>
    </xf>
    <xf numFmtId="0" fontId="10" fillId="0" borderId="15" xfId="55" applyFont="1" applyBorder="1">
      <alignment/>
      <protection/>
    </xf>
    <xf numFmtId="39" fontId="109" fillId="0" borderId="11" xfId="0" applyNumberFormat="1" applyFont="1" applyBorder="1" applyAlignment="1">
      <alignment/>
    </xf>
    <xf numFmtId="39" fontId="110" fillId="0" borderId="16" xfId="0" applyNumberFormat="1" applyFont="1" applyBorder="1" applyAlignment="1">
      <alignment/>
    </xf>
    <xf numFmtId="0" fontId="7" fillId="0" borderId="0" xfId="55" applyFont="1" applyAlignment="1">
      <alignment/>
      <protection/>
    </xf>
    <xf numFmtId="0" fontId="7" fillId="0" borderId="10" xfId="48" applyFont="1" applyFill="1" applyBorder="1" applyAlignment="1">
      <alignment/>
    </xf>
    <xf numFmtId="178" fontId="9" fillId="0" borderId="10" xfId="50" applyFont="1" applyBorder="1" applyAlignment="1">
      <alignment horizontal="right"/>
    </xf>
    <xf numFmtId="0" fontId="9" fillId="0" borderId="0" xfId="55" applyFont="1">
      <alignment/>
      <protection/>
    </xf>
    <xf numFmtId="39" fontId="109" fillId="0" borderId="10" xfId="0" applyNumberFormat="1" applyFont="1" applyBorder="1" applyAlignment="1">
      <alignment/>
    </xf>
    <xf numFmtId="39" fontId="111" fillId="0" borderId="0" xfId="0" applyNumberFormat="1" applyFont="1" applyFill="1" applyAlignment="1">
      <alignment/>
    </xf>
    <xf numFmtId="39" fontId="108" fillId="0" borderId="0" xfId="0" applyNumberFormat="1" applyFont="1" applyAlignment="1">
      <alignment/>
    </xf>
    <xf numFmtId="17" fontId="108" fillId="0" borderId="0" xfId="0" applyNumberFormat="1" applyFont="1" applyAlignment="1">
      <alignment horizontal="left"/>
    </xf>
    <xf numFmtId="39" fontId="24" fillId="0" borderId="0" xfId="0" applyNumberFormat="1" applyFont="1" applyAlignment="1">
      <alignment/>
    </xf>
    <xf numFmtId="39" fontId="24" fillId="0" borderId="13" xfId="0" applyNumberFormat="1" applyFont="1" applyBorder="1" applyAlignment="1">
      <alignment/>
    </xf>
    <xf numFmtId="39" fontId="0" fillId="0" borderId="0" xfId="0" applyNumberFormat="1" applyFill="1" applyAlignment="1">
      <alignment/>
    </xf>
    <xf numFmtId="0" fontId="0" fillId="0" borderId="0" xfId="0" applyFill="1" applyBorder="1" applyAlignment="1">
      <alignment/>
    </xf>
    <xf numFmtId="0" fontId="0" fillId="0" borderId="0" xfId="0" applyFill="1" applyBorder="1" applyAlignment="1">
      <alignment/>
    </xf>
    <xf numFmtId="39" fontId="0" fillId="0" borderId="0" xfId="0" applyNumberFormat="1" applyFill="1" applyBorder="1" applyAlignment="1">
      <alignment/>
    </xf>
    <xf numFmtId="0" fontId="0" fillId="0" borderId="17" xfId="0" applyFill="1" applyBorder="1" applyAlignment="1">
      <alignment/>
    </xf>
    <xf numFmtId="178" fontId="9" fillId="0" borderId="10" xfId="50" applyFont="1" applyFill="1" applyBorder="1" applyAlignment="1">
      <alignment horizontal="right"/>
    </xf>
    <xf numFmtId="0" fontId="7" fillId="0" borderId="0" xfId="55" applyFont="1" applyAlignment="1">
      <alignment horizontal="right"/>
      <protection/>
    </xf>
    <xf numFmtId="0" fontId="7" fillId="0" borderId="13" xfId="55" applyFont="1" applyBorder="1" applyAlignment="1">
      <alignment horizontal="center"/>
      <protection/>
    </xf>
    <xf numFmtId="0" fontId="0" fillId="0" borderId="13" xfId="0" applyBorder="1" applyAlignment="1">
      <alignment/>
    </xf>
    <xf numFmtId="0" fontId="13" fillId="0" borderId="0" xfId="0" applyFont="1" applyFill="1" applyAlignment="1">
      <alignment/>
    </xf>
    <xf numFmtId="0" fontId="13" fillId="0" borderId="0" xfId="48" applyFont="1" applyFill="1" applyAlignment="1">
      <alignment/>
    </xf>
    <xf numFmtId="0" fontId="13" fillId="0" borderId="0" xfId="48" applyFont="1" applyFill="1" applyBorder="1" applyAlignment="1">
      <alignment/>
    </xf>
    <xf numFmtId="0" fontId="13" fillId="0" borderId="17" xfId="48" applyFont="1" applyFill="1" applyBorder="1" applyAlignment="1">
      <alignment/>
    </xf>
    <xf numFmtId="0" fontId="13" fillId="0" borderId="13" xfId="48" applyFont="1" applyFill="1" applyBorder="1" applyAlignment="1">
      <alignment/>
    </xf>
    <xf numFmtId="39" fontId="13" fillId="0" borderId="0" xfId="48" applyNumberFormat="1" applyFont="1" applyFill="1" applyAlignment="1">
      <alignment/>
    </xf>
    <xf numFmtId="0" fontId="12" fillId="0" borderId="10" xfId="48" applyFont="1" applyFill="1" applyBorder="1" applyAlignment="1">
      <alignment/>
    </xf>
    <xf numFmtId="39" fontId="13" fillId="0" borderId="0" xfId="0" applyNumberFormat="1" applyFont="1" applyFill="1" applyAlignment="1">
      <alignment/>
    </xf>
    <xf numFmtId="39" fontId="13" fillId="0" borderId="17" xfId="0" applyNumberFormat="1" applyFont="1" applyFill="1" applyBorder="1" applyAlignment="1">
      <alignment/>
    </xf>
    <xf numFmtId="0" fontId="12" fillId="0" borderId="0" xfId="48" applyFont="1" applyFill="1" applyAlignment="1">
      <alignment/>
    </xf>
    <xf numFmtId="0" fontId="112" fillId="0" borderId="17" xfId="48" applyFont="1" applyFill="1" applyBorder="1" applyAlignment="1">
      <alignment/>
    </xf>
    <xf numFmtId="0" fontId="12" fillId="0" borderId="18" xfId="0" applyFont="1" applyFill="1" applyBorder="1" applyAlignment="1">
      <alignment/>
    </xf>
    <xf numFmtId="0" fontId="12" fillId="0" borderId="0" xfId="0" applyFont="1" applyFill="1" applyAlignment="1">
      <alignment/>
    </xf>
    <xf numFmtId="0" fontId="12" fillId="0" borderId="0" xfId="48" applyFont="1" applyFill="1" applyBorder="1" applyAlignment="1">
      <alignment/>
    </xf>
    <xf numFmtId="0" fontId="12" fillId="0" borderId="17" xfId="48" applyFont="1" applyFill="1" applyBorder="1" applyAlignment="1">
      <alignment/>
    </xf>
    <xf numFmtId="39" fontId="112" fillId="0" borderId="0" xfId="0" applyNumberFormat="1" applyFont="1" applyFill="1" applyAlignment="1">
      <alignment/>
    </xf>
    <xf numFmtId="0" fontId="112" fillId="0" borderId="0" xfId="48" applyFont="1" applyFill="1" applyAlignment="1">
      <alignment/>
    </xf>
    <xf numFmtId="0" fontId="22" fillId="0" borderId="0" xfId="56" applyFont="1" applyAlignment="1">
      <alignment horizontal="left"/>
      <protection/>
    </xf>
    <xf numFmtId="39" fontId="24" fillId="0" borderId="0" xfId="55" applyNumberFormat="1" applyFont="1">
      <alignment/>
      <protection/>
    </xf>
    <xf numFmtId="39" fontId="0" fillId="0" borderId="0" xfId="0" applyNumberFormat="1" applyFont="1" applyAlignment="1">
      <alignment/>
    </xf>
    <xf numFmtId="39" fontId="0" fillId="0" borderId="13" xfId="0" applyNumberFormat="1" applyFont="1" applyBorder="1" applyAlignment="1">
      <alignment/>
    </xf>
    <xf numFmtId="39" fontId="9" fillId="0" borderId="10" xfId="55" applyNumberFormat="1" applyFont="1" applyBorder="1" applyAlignment="1">
      <alignment horizontal="right"/>
      <protection/>
    </xf>
    <xf numFmtId="0" fontId="6" fillId="0" borderId="0" xfId="55" applyFont="1" applyBorder="1">
      <alignment/>
      <protection/>
    </xf>
    <xf numFmtId="0" fontId="6" fillId="0" borderId="19" xfId="55" applyFont="1" applyBorder="1">
      <alignment/>
      <protection/>
    </xf>
    <xf numFmtId="0" fontId="9" fillId="0" borderId="0" xfId="55" applyFont="1" applyBorder="1">
      <alignment/>
      <protection/>
    </xf>
    <xf numFmtId="39" fontId="9" fillId="0" borderId="11" xfId="55" applyNumberFormat="1" applyFont="1" applyBorder="1" applyAlignment="1">
      <alignment horizontal="right"/>
      <protection/>
    </xf>
    <xf numFmtId="178" fontId="9" fillId="0" borderId="19" xfId="50" applyFont="1" applyBorder="1" applyAlignment="1">
      <alignment/>
    </xf>
    <xf numFmtId="39" fontId="112" fillId="0" borderId="13" xfId="0" applyNumberFormat="1" applyFont="1" applyFill="1" applyBorder="1" applyAlignment="1">
      <alignment/>
    </xf>
    <xf numFmtId="39" fontId="112" fillId="0" borderId="17" xfId="0" applyNumberFormat="1" applyFont="1" applyFill="1" applyBorder="1" applyAlignment="1">
      <alignment/>
    </xf>
    <xf numFmtId="39" fontId="2" fillId="0" borderId="0" xfId="0" applyNumberFormat="1" applyFont="1" applyFill="1" applyAlignment="1">
      <alignment/>
    </xf>
    <xf numFmtId="39" fontId="112" fillId="0" borderId="0" xfId="0" applyNumberFormat="1" applyFont="1" applyFill="1" applyBorder="1" applyAlignment="1">
      <alignment/>
    </xf>
    <xf numFmtId="0" fontId="113" fillId="0" borderId="0" xfId="45" applyFont="1" applyAlignment="1">
      <alignment/>
    </xf>
    <xf numFmtId="39" fontId="0" fillId="0" borderId="0" xfId="0" applyNumberFormat="1" applyFont="1" applyBorder="1" applyAlignment="1">
      <alignment/>
    </xf>
    <xf numFmtId="0" fontId="6" fillId="0" borderId="13" xfId="55" applyFont="1" applyBorder="1">
      <alignment/>
      <protection/>
    </xf>
    <xf numFmtId="0" fontId="8" fillId="0" borderId="0" xfId="0" applyFont="1" applyFill="1" applyBorder="1" applyAlignment="1">
      <alignment/>
    </xf>
    <xf numFmtId="39" fontId="6" fillId="0" borderId="17" xfId="0" applyNumberFormat="1" applyFont="1" applyFill="1" applyBorder="1" applyAlignment="1">
      <alignment/>
    </xf>
    <xf numFmtId="39" fontId="8" fillId="0" borderId="0" xfId="0" applyNumberFormat="1" applyFont="1" applyFill="1" applyAlignment="1">
      <alignment/>
    </xf>
    <xf numFmtId="39" fontId="8" fillId="0" borderId="13" xfId="0" applyNumberFormat="1" applyFont="1" applyFill="1" applyBorder="1" applyAlignment="1">
      <alignment/>
    </xf>
    <xf numFmtId="39" fontId="24" fillId="0" borderId="0" xfId="0" applyNumberFormat="1" applyFont="1" applyBorder="1" applyAlignment="1">
      <alignment/>
    </xf>
    <xf numFmtId="0" fontId="5" fillId="0" borderId="0" xfId="0" applyFont="1" applyFill="1" applyAlignment="1">
      <alignment/>
    </xf>
    <xf numFmtId="0" fontId="2" fillId="0" borderId="0" xfId="0" applyFont="1" applyFill="1" applyAlignment="1">
      <alignment/>
    </xf>
    <xf numFmtId="0" fontId="108" fillId="0" borderId="0" xfId="0" applyFont="1" applyFill="1" applyAlignment="1">
      <alignment/>
    </xf>
    <xf numFmtId="0" fontId="2" fillId="0" borderId="0" xfId="0" applyFont="1" applyFill="1" applyAlignment="1">
      <alignment/>
    </xf>
    <xf numFmtId="39" fontId="2" fillId="0" borderId="13" xfId="0" applyNumberFormat="1" applyFont="1" applyFill="1" applyBorder="1" applyAlignment="1">
      <alignment/>
    </xf>
    <xf numFmtId="39" fontId="5" fillId="0" borderId="10" xfId="0" applyNumberFormat="1" applyFont="1" applyFill="1" applyBorder="1" applyAlignment="1">
      <alignment/>
    </xf>
    <xf numFmtId="39" fontId="5" fillId="0" borderId="0" xfId="0" applyNumberFormat="1" applyFont="1" applyFill="1" applyAlignment="1">
      <alignment/>
    </xf>
    <xf numFmtId="179" fontId="2" fillId="0" borderId="0" xfId="0" applyNumberFormat="1" applyFont="1" applyFill="1" applyAlignment="1">
      <alignment/>
    </xf>
    <xf numFmtId="179" fontId="5" fillId="0" borderId="11" xfId="0" applyNumberFormat="1" applyFont="1" applyFill="1" applyBorder="1" applyAlignment="1">
      <alignment/>
    </xf>
    <xf numFmtId="0" fontId="24" fillId="0" borderId="0" xfId="0" applyFont="1" applyFill="1" applyAlignment="1">
      <alignment/>
    </xf>
    <xf numFmtId="4" fontId="5" fillId="0" borderId="0" xfId="0" applyNumberFormat="1" applyFont="1" applyFill="1" applyAlignment="1">
      <alignment/>
    </xf>
    <xf numFmtId="0" fontId="11" fillId="0" borderId="0" xfId="0" applyFont="1" applyFill="1" applyAlignment="1">
      <alignment horizontal="left"/>
    </xf>
    <xf numFmtId="0" fontId="0" fillId="0" borderId="0" xfId="0" applyFill="1" applyAlignment="1">
      <alignment horizontal="left"/>
    </xf>
    <xf numFmtId="0" fontId="7" fillId="0" borderId="0" xfId="0" applyFont="1" applyFill="1" applyAlignment="1">
      <alignment/>
    </xf>
    <xf numFmtId="0" fontId="7" fillId="0" borderId="0" xfId="0" applyFont="1" applyFill="1" applyAlignment="1">
      <alignment horizontal="center"/>
    </xf>
    <xf numFmtId="0" fontId="113" fillId="0" borderId="0" xfId="45" applyFont="1" applyFill="1" applyAlignment="1">
      <alignment/>
    </xf>
    <xf numFmtId="0" fontId="114" fillId="0" borderId="0" xfId="0" applyFont="1" applyFill="1" applyAlignment="1">
      <alignment/>
    </xf>
    <xf numFmtId="39" fontId="13" fillId="0" borderId="0" xfId="0" applyNumberFormat="1" applyFont="1" applyFill="1" applyAlignment="1">
      <alignment horizontal="right"/>
    </xf>
    <xf numFmtId="39" fontId="115" fillId="0" borderId="0" xfId="0" applyNumberFormat="1" applyFont="1" applyFill="1" applyAlignment="1">
      <alignment/>
    </xf>
    <xf numFmtId="0" fontId="116" fillId="0" borderId="0" xfId="0" applyFont="1" applyFill="1" applyAlignment="1">
      <alignment/>
    </xf>
    <xf numFmtId="39" fontId="114" fillId="0" borderId="0" xfId="0" applyNumberFormat="1" applyFont="1" applyFill="1" applyAlignment="1">
      <alignment/>
    </xf>
    <xf numFmtId="39" fontId="115" fillId="0" borderId="0" xfId="0" applyNumberFormat="1" applyFont="1" applyFill="1" applyAlignment="1">
      <alignment horizontal="right"/>
    </xf>
    <xf numFmtId="39" fontId="115" fillId="0" borderId="0" xfId="0" applyNumberFormat="1" applyFont="1" applyFill="1" applyBorder="1" applyAlignment="1">
      <alignment horizontal="right"/>
    </xf>
    <xf numFmtId="0" fontId="116" fillId="0" borderId="0" xfId="0" applyFont="1" applyFill="1" applyBorder="1" applyAlignment="1">
      <alignment/>
    </xf>
    <xf numFmtId="39" fontId="13" fillId="0" borderId="13" xfId="0" applyNumberFormat="1" applyFont="1" applyFill="1" applyBorder="1" applyAlignment="1">
      <alignment horizontal="right"/>
    </xf>
    <xf numFmtId="0" fontId="114" fillId="0" borderId="13" xfId="0" applyFont="1" applyFill="1" applyBorder="1" applyAlignment="1">
      <alignment/>
    </xf>
    <xf numFmtId="39" fontId="116" fillId="0" borderId="0" xfId="0" applyNumberFormat="1" applyFont="1" applyFill="1" applyBorder="1" applyAlignment="1">
      <alignment/>
    </xf>
    <xf numFmtId="39" fontId="117" fillId="0" borderId="0" xfId="0" applyNumberFormat="1" applyFont="1" applyFill="1" applyAlignment="1">
      <alignment/>
    </xf>
    <xf numFmtId="39" fontId="118" fillId="0" borderId="0" xfId="0" applyNumberFormat="1" applyFont="1" applyFill="1" applyAlignment="1">
      <alignment/>
    </xf>
    <xf numFmtId="0" fontId="91" fillId="0" borderId="0" xfId="0" applyFont="1" applyFill="1" applyAlignment="1">
      <alignment/>
    </xf>
    <xf numFmtId="0" fontId="7" fillId="0" borderId="0" xfId="48" applyFont="1" applyFill="1" applyAlignment="1">
      <alignment horizontal="center"/>
    </xf>
    <xf numFmtId="0" fontId="119" fillId="0" borderId="0" xfId="0" applyFont="1" applyFill="1" applyAlignment="1">
      <alignment horizontal="center"/>
    </xf>
    <xf numFmtId="0" fontId="114" fillId="0" borderId="0" xfId="0" applyFont="1" applyFill="1" applyAlignment="1">
      <alignment/>
    </xf>
    <xf numFmtId="0" fontId="20" fillId="0" borderId="0" xfId="48" applyFont="1" applyFill="1" applyBorder="1" applyAlignment="1">
      <alignment/>
    </xf>
    <xf numFmtId="0" fontId="12" fillId="0" borderId="11" xfId="48" applyFont="1" applyFill="1" applyBorder="1" applyAlignment="1">
      <alignment/>
    </xf>
    <xf numFmtId="0" fontId="14" fillId="0" borderId="0" xfId="0" applyFont="1" applyFill="1" applyAlignment="1">
      <alignment/>
    </xf>
    <xf numFmtId="0" fontId="14" fillId="0" borderId="0" xfId="48" applyFont="1" applyFill="1" applyAlignment="1">
      <alignment/>
    </xf>
    <xf numFmtId="0" fontId="120" fillId="0" borderId="0" xfId="0" applyFont="1" applyFill="1" applyAlignment="1">
      <alignment/>
    </xf>
    <xf numFmtId="0" fontId="12" fillId="0" borderId="0" xfId="0" applyFont="1" applyFill="1" applyBorder="1" applyAlignment="1">
      <alignment/>
    </xf>
    <xf numFmtId="0" fontId="12" fillId="0" borderId="10" xfId="0" applyFont="1" applyFill="1" applyBorder="1" applyAlignment="1">
      <alignment/>
    </xf>
    <xf numFmtId="0" fontId="8" fillId="0" borderId="0" xfId="48" applyFont="1" applyFill="1" applyBorder="1" applyAlignment="1">
      <alignment/>
    </xf>
    <xf numFmtId="0" fontId="7" fillId="0" borderId="0" xfId="48" applyFont="1" applyFill="1" applyBorder="1" applyAlignment="1">
      <alignment/>
    </xf>
    <xf numFmtId="39" fontId="114" fillId="0" borderId="17" xfId="0" applyNumberFormat="1" applyFont="1" applyFill="1" applyBorder="1" applyAlignment="1">
      <alignment/>
    </xf>
    <xf numFmtId="180" fontId="117" fillId="0" borderId="0" xfId="0" applyNumberFormat="1" applyFont="1" applyFill="1" applyAlignment="1">
      <alignment/>
    </xf>
    <xf numFmtId="39" fontId="121" fillId="0" borderId="0" xfId="0" applyNumberFormat="1" applyFont="1" applyFill="1" applyAlignment="1">
      <alignment/>
    </xf>
    <xf numFmtId="4" fontId="114" fillId="0" borderId="0" xfId="0" applyNumberFormat="1" applyFont="1" applyFill="1" applyAlignment="1">
      <alignment/>
    </xf>
    <xf numFmtId="39" fontId="122" fillId="0" borderId="0" xfId="0" applyNumberFormat="1" applyFont="1" applyFill="1" applyAlignment="1">
      <alignment/>
    </xf>
    <xf numFmtId="0" fontId="114" fillId="0" borderId="17" xfId="0" applyFont="1" applyFill="1" applyBorder="1" applyAlignment="1">
      <alignment/>
    </xf>
    <xf numFmtId="0" fontId="15" fillId="0" borderId="0" xfId="0" applyFont="1" applyFill="1" applyAlignment="1">
      <alignment/>
    </xf>
    <xf numFmtId="0" fontId="3" fillId="0" borderId="0" xfId="0" applyFont="1" applyFill="1" applyAlignment="1">
      <alignment/>
    </xf>
    <xf numFmtId="0" fontId="16" fillId="0" borderId="0" xfId="0" applyFont="1" applyFill="1" applyAlignment="1">
      <alignment horizontal="left"/>
    </xf>
    <xf numFmtId="0" fontId="3" fillId="0" borderId="0" xfId="0" applyFont="1" applyFill="1" applyAlignment="1">
      <alignment horizontal="left"/>
    </xf>
    <xf numFmtId="0" fontId="17" fillId="0" borderId="0" xfId="0" applyFont="1" applyFill="1" applyAlignment="1">
      <alignment/>
    </xf>
    <xf numFmtId="0" fontId="21" fillId="0" borderId="0" xfId="0" applyFont="1" applyFill="1" applyAlignment="1">
      <alignment/>
    </xf>
    <xf numFmtId="39" fontId="12" fillId="0" borderId="0" xfId="0" applyNumberFormat="1" applyFont="1" applyFill="1" applyAlignment="1">
      <alignment/>
    </xf>
    <xf numFmtId="39" fontId="12" fillId="0" borderId="18" xfId="0" applyNumberFormat="1" applyFont="1" applyFill="1" applyBorder="1" applyAlignment="1">
      <alignment/>
    </xf>
    <xf numFmtId="0" fontId="6" fillId="0" borderId="20" xfId="48" applyFont="1" applyFill="1" applyBorder="1" applyAlignment="1">
      <alignment/>
    </xf>
    <xf numFmtId="0" fontId="7" fillId="0" borderId="0" xfId="0" applyFont="1" applyFill="1" applyBorder="1" applyAlignment="1">
      <alignment/>
    </xf>
    <xf numFmtId="0" fontId="12" fillId="0" borderId="20" xfId="0" applyFont="1" applyFill="1" applyBorder="1" applyAlignment="1">
      <alignment/>
    </xf>
    <xf numFmtId="0" fontId="2" fillId="0" borderId="0" xfId="0" applyFont="1" applyFill="1" applyAlignment="1">
      <alignment horizontal="left"/>
    </xf>
    <xf numFmtId="0" fontId="6" fillId="0" borderId="0" xfId="0" applyFont="1" applyFill="1" applyBorder="1" applyAlignment="1">
      <alignment/>
    </xf>
    <xf numFmtId="0" fontId="0" fillId="0" borderId="21" xfId="0" applyFill="1" applyBorder="1" applyAlignment="1">
      <alignment/>
    </xf>
    <xf numFmtId="0" fontId="5" fillId="0" borderId="0" xfId="48" applyFont="1" applyFill="1" applyAlignment="1">
      <alignment/>
    </xf>
    <xf numFmtId="0" fontId="0" fillId="0" borderId="0" xfId="48" applyFont="1" applyFill="1" applyAlignment="1">
      <alignment/>
    </xf>
    <xf numFmtId="0" fontId="10" fillId="0" borderId="0" xfId="0" applyFont="1" applyFill="1" applyAlignment="1">
      <alignment/>
    </xf>
    <xf numFmtId="0" fontId="6" fillId="0" borderId="0" xfId="0" applyFont="1" applyFill="1" applyAlignment="1">
      <alignment horizontal="center"/>
    </xf>
    <xf numFmtId="39" fontId="6" fillId="0" borderId="0" xfId="0" applyNumberFormat="1" applyFont="1" applyFill="1" applyAlignment="1">
      <alignment/>
    </xf>
    <xf numFmtId="39" fontId="6" fillId="0" borderId="0" xfId="0" applyNumberFormat="1" applyFont="1" applyFill="1" applyAlignment="1">
      <alignment horizontal="right"/>
    </xf>
    <xf numFmtId="39" fontId="6" fillId="0" borderId="0" xfId="48" applyNumberFormat="1" applyFont="1" applyFill="1" applyAlignment="1">
      <alignment horizontal="right"/>
    </xf>
    <xf numFmtId="0" fontId="6" fillId="0" borderId="0" xfId="48" applyFont="1" applyFill="1" applyAlignment="1">
      <alignment horizontal="right"/>
    </xf>
    <xf numFmtId="0" fontId="6" fillId="0" borderId="0" xfId="48" applyFont="1" applyFill="1" applyBorder="1" applyAlignment="1">
      <alignment horizontal="right"/>
    </xf>
    <xf numFmtId="4" fontId="0" fillId="0" borderId="0" xfId="0" applyNumberFormat="1" applyFill="1" applyAlignment="1">
      <alignment/>
    </xf>
    <xf numFmtId="0" fontId="0" fillId="0" borderId="0" xfId="0" applyFill="1" applyAlignment="1">
      <alignment/>
    </xf>
    <xf numFmtId="0" fontId="7" fillId="0" borderId="0" xfId="55" applyFont="1" applyFill="1" applyAlignment="1">
      <alignment horizontal="left"/>
      <protection/>
    </xf>
    <xf numFmtId="0" fontId="13" fillId="0" borderId="0" xfId="56" applyFont="1" applyAlignment="1">
      <alignment horizontal="left"/>
      <protection/>
    </xf>
    <xf numFmtId="39" fontId="13" fillId="0" borderId="0" xfId="56" applyNumberFormat="1" applyFont="1" applyAlignment="1">
      <alignment horizontal="left"/>
      <protection/>
    </xf>
    <xf numFmtId="178" fontId="13" fillId="0" borderId="0" xfId="50" applyFont="1" applyAlignment="1">
      <alignment horizontal="left"/>
    </xf>
    <xf numFmtId="0" fontId="112" fillId="0" borderId="0" xfId="0" applyFont="1" applyAlignment="1">
      <alignment horizontal="left"/>
    </xf>
    <xf numFmtId="0" fontId="112" fillId="0" borderId="0" xfId="0" applyFont="1" applyAlignment="1">
      <alignment/>
    </xf>
    <xf numFmtId="0" fontId="123" fillId="0" borderId="0" xfId="0" applyFont="1" applyAlignment="1">
      <alignment/>
    </xf>
    <xf numFmtId="0" fontId="25" fillId="0" borderId="0" xfId="56" applyFont="1" applyAlignment="1">
      <alignment horizontal="left"/>
      <protection/>
    </xf>
    <xf numFmtId="178" fontId="25" fillId="0" borderId="0" xfId="50" applyFont="1" applyAlignment="1">
      <alignment horizontal="left"/>
    </xf>
    <xf numFmtId="0" fontId="124" fillId="0" borderId="0" xfId="0" applyFont="1" applyAlignment="1">
      <alignment horizontal="left"/>
    </xf>
    <xf numFmtId="0" fontId="123" fillId="0" borderId="0" xfId="0" applyFont="1" applyAlignment="1">
      <alignment horizontal="left"/>
    </xf>
    <xf numFmtId="0" fontId="0" fillId="0" borderId="0" xfId="0" applyAlignment="1">
      <alignment horizontal="left"/>
    </xf>
    <xf numFmtId="0" fontId="26" fillId="0" borderId="0" xfId="56" applyFont="1" applyAlignment="1">
      <alignment horizontal="left"/>
      <protection/>
    </xf>
    <xf numFmtId="178" fontId="26" fillId="0" borderId="0" xfId="50" applyFont="1" applyAlignment="1">
      <alignment horizontal="left"/>
    </xf>
    <xf numFmtId="0" fontId="125" fillId="0" borderId="0" xfId="0" applyFont="1" applyAlignment="1">
      <alignment horizontal="left"/>
    </xf>
    <xf numFmtId="0" fontId="111" fillId="0" borderId="0" xfId="0" applyFont="1" applyAlignment="1">
      <alignment/>
    </xf>
    <xf numFmtId="0" fontId="0" fillId="0" borderId="0" xfId="0" applyFont="1" applyAlignment="1">
      <alignment/>
    </xf>
    <xf numFmtId="0" fontId="126" fillId="0" borderId="0" xfId="0" applyFont="1" applyAlignment="1">
      <alignment vertical="center"/>
    </xf>
    <xf numFmtId="0" fontId="103" fillId="0" borderId="0" xfId="0" applyFont="1" applyFill="1" applyAlignment="1">
      <alignment/>
    </xf>
    <xf numFmtId="39" fontId="91" fillId="0" borderId="0" xfId="0" applyNumberFormat="1" applyFont="1" applyAlignment="1">
      <alignment/>
    </xf>
    <xf numFmtId="181" fontId="122" fillId="0" borderId="10" xfId="0" applyNumberFormat="1" applyFont="1" applyFill="1" applyBorder="1" applyAlignment="1">
      <alignment/>
    </xf>
    <xf numFmtId="49" fontId="12" fillId="0" borderId="0" xfId="0" applyNumberFormat="1"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xf>
    <xf numFmtId="49" fontId="6" fillId="0" borderId="0" xfId="48" applyNumberFormat="1" applyFont="1" applyFill="1" applyAlignment="1">
      <alignment/>
    </xf>
    <xf numFmtId="49" fontId="0" fillId="0" borderId="0" xfId="0" applyNumberFormat="1" applyFill="1" applyAlignment="1">
      <alignment/>
    </xf>
    <xf numFmtId="49" fontId="13" fillId="0" borderId="0" xfId="0" applyNumberFormat="1" applyFont="1" applyFill="1" applyAlignment="1">
      <alignment vertical="center"/>
    </xf>
    <xf numFmtId="49" fontId="13" fillId="0" borderId="0" xfId="0" applyNumberFormat="1" applyFont="1" applyFill="1" applyAlignment="1">
      <alignment/>
    </xf>
    <xf numFmtId="49" fontId="13" fillId="0" borderId="0" xfId="48" applyNumberFormat="1" applyFont="1" applyFill="1" applyAlignment="1">
      <alignment/>
    </xf>
    <xf numFmtId="49" fontId="114" fillId="0" borderId="0" xfId="0" applyNumberFormat="1" applyFont="1" applyFill="1" applyAlignment="1">
      <alignment/>
    </xf>
    <xf numFmtId="49" fontId="12" fillId="0" borderId="0" xfId="0" applyNumberFormat="1" applyFont="1" applyFill="1" applyAlignment="1">
      <alignment/>
    </xf>
    <xf numFmtId="0" fontId="27" fillId="0" borderId="0" xfId="0" applyFont="1" applyFill="1" applyAlignment="1">
      <alignment/>
    </xf>
    <xf numFmtId="39" fontId="13" fillId="0" borderId="0" xfId="0" applyNumberFormat="1" applyFont="1" applyFill="1" applyBorder="1" applyAlignment="1">
      <alignment/>
    </xf>
    <xf numFmtId="39" fontId="122" fillId="0" borderId="22" xfId="0" applyNumberFormat="1" applyFont="1" applyFill="1" applyBorder="1" applyAlignment="1">
      <alignment/>
    </xf>
    <xf numFmtId="0" fontId="70" fillId="0" borderId="0" xfId="0" applyFont="1" applyFill="1" applyAlignment="1">
      <alignment horizontal="center"/>
    </xf>
    <xf numFmtId="39" fontId="2" fillId="0" borderId="0" xfId="0" applyNumberFormat="1" applyFont="1" applyFill="1" applyAlignment="1">
      <alignment horizontal="right"/>
    </xf>
    <xf numFmtId="179" fontId="2" fillId="0" borderId="0" xfId="0" applyNumberFormat="1" applyFont="1" applyFill="1" applyBorder="1" applyAlignment="1">
      <alignment/>
    </xf>
    <xf numFmtId="0" fontId="2" fillId="0" borderId="0" xfId="0" applyFont="1" applyFill="1" applyBorder="1" applyAlignment="1">
      <alignment/>
    </xf>
    <xf numFmtId="4" fontId="2" fillId="0" borderId="0" xfId="0" applyNumberFormat="1" applyFont="1" applyFill="1" applyBorder="1" applyAlignment="1">
      <alignment/>
    </xf>
    <xf numFmtId="0" fontId="91" fillId="0" borderId="0" xfId="0" applyFont="1" applyAlignment="1">
      <alignment/>
    </xf>
    <xf numFmtId="173" fontId="2" fillId="0" borderId="0" xfId="0" applyNumberFormat="1" applyFont="1" applyFill="1" applyAlignment="1">
      <alignment/>
    </xf>
    <xf numFmtId="0" fontId="70" fillId="0" borderId="0" xfId="0" applyFont="1" applyFill="1" applyAlignment="1">
      <alignment/>
    </xf>
    <xf numFmtId="181" fontId="24" fillId="0" borderId="0" xfId="0" applyNumberFormat="1" applyFont="1" applyFill="1" applyAlignment="1">
      <alignment/>
    </xf>
    <xf numFmtId="173" fontId="24" fillId="0" borderId="0" xfId="0" applyNumberFormat="1" applyFont="1" applyFill="1" applyAlignment="1">
      <alignment/>
    </xf>
    <xf numFmtId="179" fontId="2" fillId="0" borderId="0" xfId="0" applyNumberFormat="1" applyFont="1" applyFill="1" applyAlignment="1">
      <alignment horizontal="right"/>
    </xf>
    <xf numFmtId="179" fontId="2" fillId="0" borderId="13" xfId="0" applyNumberFormat="1" applyFont="1" applyFill="1" applyBorder="1" applyAlignment="1">
      <alignment/>
    </xf>
    <xf numFmtId="0" fontId="2" fillId="0" borderId="13" xfId="0" applyFont="1" applyFill="1" applyBorder="1" applyAlignment="1">
      <alignment/>
    </xf>
    <xf numFmtId="4" fontId="2" fillId="0" borderId="13" xfId="0" applyNumberFormat="1" applyFont="1" applyFill="1" applyBorder="1" applyAlignment="1">
      <alignment/>
    </xf>
    <xf numFmtId="39" fontId="24" fillId="0" borderId="0" xfId="0" applyNumberFormat="1" applyFont="1" applyFill="1" applyAlignment="1">
      <alignment/>
    </xf>
    <xf numFmtId="39" fontId="112" fillId="0" borderId="0" xfId="0" applyNumberFormat="1" applyFont="1" applyFill="1" applyAlignment="1">
      <alignment/>
    </xf>
    <xf numFmtId="4" fontId="12" fillId="0" borderId="10" xfId="48" applyNumberFormat="1" applyFont="1" applyFill="1" applyBorder="1" applyAlignment="1">
      <alignment/>
    </xf>
    <xf numFmtId="4" fontId="24" fillId="0" borderId="0" xfId="0" applyNumberFormat="1" applyFont="1" applyFill="1" applyAlignment="1">
      <alignment/>
    </xf>
    <xf numFmtId="181" fontId="12" fillId="0" borderId="18" xfId="0" applyNumberFormat="1" applyFont="1" applyFill="1" applyBorder="1" applyAlignment="1">
      <alignment/>
    </xf>
    <xf numFmtId="4" fontId="103" fillId="0" borderId="0" xfId="0" applyNumberFormat="1" applyFont="1" applyFill="1" applyAlignment="1">
      <alignment/>
    </xf>
    <xf numFmtId="181" fontId="0" fillId="0" borderId="0" xfId="0" applyNumberFormat="1" applyAlignment="1">
      <alignment/>
    </xf>
    <xf numFmtId="4" fontId="12" fillId="0" borderId="0" xfId="48" applyNumberFormat="1" applyFont="1" applyFill="1" applyAlignment="1">
      <alignment/>
    </xf>
    <xf numFmtId="4" fontId="7" fillId="0" borderId="10" xfId="48" applyNumberFormat="1" applyFont="1" applyFill="1" applyBorder="1" applyAlignment="1">
      <alignment/>
    </xf>
    <xf numFmtId="39" fontId="7" fillId="0" borderId="10" xfId="48" applyNumberFormat="1" applyFont="1" applyFill="1" applyBorder="1" applyAlignment="1">
      <alignment/>
    </xf>
    <xf numFmtId="39" fontId="9" fillId="0" borderId="10" xfId="55" applyNumberFormat="1" applyFont="1" applyBorder="1">
      <alignment/>
      <protection/>
    </xf>
    <xf numFmtId="4" fontId="12" fillId="0" borderId="10" xfId="0" applyNumberFormat="1" applyFont="1" applyFill="1" applyBorder="1" applyAlignment="1">
      <alignment/>
    </xf>
    <xf numFmtId="39" fontId="12" fillId="0" borderId="0" xfId="48" applyNumberFormat="1" applyFont="1" applyFill="1" applyAlignment="1">
      <alignment/>
    </xf>
    <xf numFmtId="181" fontId="12" fillId="0" borderId="0" xfId="48" applyNumberFormat="1" applyFont="1" applyFill="1" applyAlignment="1">
      <alignment/>
    </xf>
    <xf numFmtId="4" fontId="12" fillId="0" borderId="11" xfId="48" applyNumberFormat="1" applyFont="1" applyFill="1" applyBorder="1" applyAlignment="1">
      <alignment/>
    </xf>
    <xf numFmtId="173" fontId="127" fillId="0" borderId="0" xfId="0" applyNumberFormat="1" applyFont="1" applyFill="1" applyAlignment="1">
      <alignment/>
    </xf>
    <xf numFmtId="181" fontId="10" fillId="0" borderId="15" xfId="55" applyNumberFormat="1" applyFont="1" applyBorder="1">
      <alignment/>
      <protection/>
    </xf>
    <xf numFmtId="181" fontId="10" fillId="0" borderId="16" xfId="55" applyNumberFormat="1" applyFont="1" applyBorder="1">
      <alignment/>
      <protection/>
    </xf>
    <xf numFmtId="4" fontId="5" fillId="0" borderId="14" xfId="0" applyNumberFormat="1" applyFont="1" applyFill="1" applyBorder="1" applyAlignment="1">
      <alignment/>
    </xf>
    <xf numFmtId="4" fontId="5" fillId="0" borderId="16" xfId="0" applyNumberFormat="1" applyFont="1" applyFill="1" applyBorder="1" applyAlignment="1">
      <alignment/>
    </xf>
    <xf numFmtId="167" fontId="12" fillId="0" borderId="0" xfId="0" applyNumberFormat="1" applyFont="1" applyFill="1" applyAlignment="1">
      <alignment/>
    </xf>
    <xf numFmtId="0" fontId="108" fillId="0" borderId="13" xfId="0" applyFont="1" applyFill="1" applyBorder="1" applyAlignment="1">
      <alignment horizontal="center"/>
    </xf>
    <xf numFmtId="180" fontId="24" fillId="0" borderId="13" xfId="0" applyNumberFormat="1" applyFont="1" applyBorder="1" applyAlignment="1">
      <alignment/>
    </xf>
    <xf numFmtId="180" fontId="24" fillId="0" borderId="0" xfId="0" applyNumberFormat="1" applyFont="1" applyBorder="1" applyAlignment="1">
      <alignment/>
    </xf>
    <xf numFmtId="0" fontId="108" fillId="0" borderId="13" xfId="0" applyFont="1" applyFill="1" applyBorder="1" applyAlignment="1">
      <alignment/>
    </xf>
    <xf numFmtId="180" fontId="112" fillId="0" borderId="0" xfId="0" applyNumberFormat="1" applyFont="1" applyFill="1" applyAlignment="1">
      <alignment/>
    </xf>
    <xf numFmtId="187" fontId="0" fillId="0" borderId="0" xfId="0" applyNumberFormat="1" applyAlignment="1">
      <alignment/>
    </xf>
    <xf numFmtId="39" fontId="24" fillId="0" borderId="13" xfId="0" applyNumberFormat="1" applyFont="1" applyBorder="1" applyAlignment="1">
      <alignment/>
    </xf>
    <xf numFmtId="39" fontId="24" fillId="0" borderId="0" xfId="0" applyNumberFormat="1" applyFont="1" applyAlignment="1">
      <alignment/>
    </xf>
    <xf numFmtId="39" fontId="112" fillId="0" borderId="0" xfId="0" applyNumberFormat="1" applyFont="1" applyFill="1" applyAlignment="1">
      <alignment/>
    </xf>
    <xf numFmtId="0" fontId="70" fillId="0" borderId="0" xfId="45" applyFont="1" applyAlignment="1">
      <alignment/>
    </xf>
    <xf numFmtId="173" fontId="128" fillId="0" borderId="0" xfId="0" applyNumberFormat="1" applyFont="1" applyFill="1" applyAlignment="1">
      <alignment/>
    </xf>
    <xf numFmtId="39" fontId="2" fillId="0" borderId="13" xfId="0" applyNumberFormat="1" applyFont="1" applyFill="1" applyBorder="1" applyAlignment="1">
      <alignment horizontal="right"/>
    </xf>
    <xf numFmtId="39" fontId="6" fillId="0" borderId="0" xfId="0" applyNumberFormat="1" applyFont="1" applyFill="1" applyBorder="1" applyAlignment="1">
      <alignment/>
    </xf>
    <xf numFmtId="0" fontId="129" fillId="0" borderId="0" xfId="0" applyFont="1" applyAlignment="1">
      <alignment vertical="center"/>
    </xf>
    <xf numFmtId="0" fontId="0" fillId="0" borderId="0" xfId="0" applyAlignment="1">
      <alignment vertical="center"/>
    </xf>
    <xf numFmtId="41" fontId="129" fillId="0" borderId="0" xfId="0" applyNumberFormat="1" applyFont="1" applyAlignment="1">
      <alignment vertical="center"/>
    </xf>
    <xf numFmtId="37" fontId="129" fillId="0" borderId="0" xfId="0" applyNumberFormat="1" applyFont="1" applyAlignment="1">
      <alignment vertical="center"/>
    </xf>
    <xf numFmtId="0" fontId="129" fillId="0" borderId="0" xfId="0" applyFont="1" applyAlignment="1">
      <alignment/>
    </xf>
    <xf numFmtId="0" fontId="129" fillId="0" borderId="0" xfId="0" applyFont="1" applyFill="1" applyAlignment="1">
      <alignment vertical="center"/>
    </xf>
    <xf numFmtId="0" fontId="129" fillId="0" borderId="0" xfId="0" applyFont="1" applyFill="1" applyAlignment="1">
      <alignment/>
    </xf>
    <xf numFmtId="0" fontId="130" fillId="0" borderId="0" xfId="0" applyFont="1" applyAlignment="1">
      <alignment horizontal="left" vertical="center"/>
    </xf>
    <xf numFmtId="43" fontId="129" fillId="0" borderId="0" xfId="0" applyNumberFormat="1" applyFont="1" applyAlignment="1">
      <alignment vertical="center"/>
    </xf>
    <xf numFmtId="41" fontId="129" fillId="0" borderId="0" xfId="0" applyNumberFormat="1" applyFont="1" applyFill="1" applyAlignment="1">
      <alignment vertical="center"/>
    </xf>
    <xf numFmtId="37" fontId="129" fillId="0" borderId="0" xfId="0" applyNumberFormat="1" applyFont="1" applyFill="1" applyAlignment="1">
      <alignment vertical="center"/>
    </xf>
    <xf numFmtId="41" fontId="129" fillId="0" borderId="0" xfId="0" applyNumberFormat="1" applyFont="1" applyFill="1" applyAlignment="1">
      <alignment/>
    </xf>
    <xf numFmtId="37" fontId="129" fillId="0" borderId="0" xfId="0" applyNumberFormat="1" applyFont="1" applyFill="1" applyAlignment="1">
      <alignment/>
    </xf>
    <xf numFmtId="0" fontId="131" fillId="0" borderId="0" xfId="0" applyFont="1" applyFill="1" applyAlignment="1">
      <alignment/>
    </xf>
    <xf numFmtId="0" fontId="132" fillId="0" borderId="0" xfId="0" applyFont="1" applyFill="1" applyAlignment="1">
      <alignment horizontal="left" vertical="center" indent="5"/>
    </xf>
    <xf numFmtId="0" fontId="129" fillId="0" borderId="0" xfId="0" applyFont="1" applyFill="1" applyBorder="1" applyAlignment="1">
      <alignment/>
    </xf>
    <xf numFmtId="0" fontId="129" fillId="0" borderId="0" xfId="0" applyFont="1" applyFill="1" applyBorder="1" applyAlignment="1">
      <alignment vertical="center"/>
    </xf>
    <xf numFmtId="0" fontId="131" fillId="0" borderId="0" xfId="0" applyFont="1" applyFill="1" applyBorder="1" applyAlignment="1">
      <alignment vertical="center"/>
    </xf>
    <xf numFmtId="0" fontId="132" fillId="0" borderId="0" xfId="0" applyFont="1" applyFill="1" applyBorder="1" applyAlignment="1">
      <alignment horizontal="left" vertical="center" indent="5"/>
    </xf>
    <xf numFmtId="41" fontId="129" fillId="0" borderId="0" xfId="0" applyNumberFormat="1" applyFont="1" applyFill="1" applyBorder="1" applyAlignment="1">
      <alignment/>
    </xf>
    <xf numFmtId="0" fontId="130" fillId="0" borderId="0" xfId="0" applyFont="1" applyAlignment="1">
      <alignment vertical="center"/>
    </xf>
    <xf numFmtId="0" fontId="29" fillId="0" borderId="0" xfId="56" applyFont="1" applyAlignment="1">
      <alignment horizontal="left"/>
      <protection/>
    </xf>
    <xf numFmtId="37" fontId="0" fillId="0" borderId="0" xfId="0" applyNumberFormat="1" applyAlignment="1">
      <alignment vertical="center"/>
    </xf>
    <xf numFmtId="0" fontId="130" fillId="0" borderId="0" xfId="0" applyFont="1" applyAlignment="1">
      <alignment/>
    </xf>
    <xf numFmtId="0" fontId="133" fillId="0" borderId="0" xfId="0" applyFont="1" applyFill="1" applyBorder="1" applyAlignment="1">
      <alignment vertical="center"/>
    </xf>
    <xf numFmtId="0" fontId="134" fillId="0" borderId="0" xfId="0" applyFont="1" applyFill="1" applyBorder="1" applyAlignment="1">
      <alignment vertical="center"/>
    </xf>
    <xf numFmtId="0" fontId="0" fillId="0" borderId="0" xfId="0" applyFill="1" applyBorder="1" applyAlignment="1">
      <alignment horizontal="left" vertical="top" wrapText="1"/>
    </xf>
    <xf numFmtId="0" fontId="23" fillId="0" borderId="0" xfId="0" applyFont="1" applyFill="1" applyBorder="1" applyAlignment="1">
      <alignment horizontal="left" vertical="center" wrapText="1"/>
    </xf>
    <xf numFmtId="0" fontId="29" fillId="0" borderId="0" xfId="48" applyFont="1" applyFill="1" applyBorder="1" applyAlignment="1">
      <alignment horizontal="center" vertical="top" wrapText="1"/>
    </xf>
    <xf numFmtId="9" fontId="29" fillId="0" borderId="0" xfId="0" applyNumberFormat="1" applyFont="1" applyFill="1" applyBorder="1" applyAlignment="1">
      <alignment horizontal="center" vertical="center" wrapText="1"/>
    </xf>
    <xf numFmtId="0" fontId="23" fillId="0" borderId="0" xfId="0" applyFont="1" applyBorder="1" applyAlignment="1">
      <alignment horizontal="center" vertical="center"/>
    </xf>
    <xf numFmtId="0" fontId="30" fillId="0" borderId="0" xfId="0" applyFont="1" applyAlignment="1">
      <alignment vertical="center"/>
    </xf>
    <xf numFmtId="0" fontId="24" fillId="0" borderId="0" xfId="0" applyFont="1" applyAlignment="1">
      <alignment vertical="center"/>
    </xf>
    <xf numFmtId="0" fontId="91" fillId="0" borderId="0" xfId="0" applyFont="1" applyAlignment="1">
      <alignment vertical="center"/>
    </xf>
    <xf numFmtId="41" fontId="24" fillId="0" borderId="0" xfId="0" applyNumberFormat="1" applyFont="1" applyAlignment="1">
      <alignment vertical="center"/>
    </xf>
    <xf numFmtId="0" fontId="30" fillId="0" borderId="0" xfId="0" applyFont="1" applyBorder="1" applyAlignment="1">
      <alignment vertical="center"/>
    </xf>
    <xf numFmtId="0" fontId="32" fillId="0" borderId="0" xfId="0" applyFont="1" applyBorder="1" applyAlignment="1">
      <alignment horizontal="center" vertical="center"/>
    </xf>
    <xf numFmtId="39" fontId="30" fillId="0" borderId="0" xfId="0" applyNumberFormat="1" applyFont="1" applyBorder="1" applyAlignment="1">
      <alignment vertical="center"/>
    </xf>
    <xf numFmtId="41" fontId="30" fillId="0" borderId="0" xfId="0" applyNumberFormat="1" applyFont="1" applyBorder="1" applyAlignment="1">
      <alignment/>
    </xf>
    <xf numFmtId="0" fontId="30" fillId="0" borderId="0" xfId="0" applyFont="1" applyAlignment="1">
      <alignment/>
    </xf>
    <xf numFmtId="0" fontId="24" fillId="0" borderId="0" xfId="0" applyFont="1" applyAlignment="1">
      <alignment/>
    </xf>
    <xf numFmtId="41" fontId="24" fillId="0" borderId="0" xfId="0" applyNumberFormat="1" applyFont="1" applyAlignment="1">
      <alignment/>
    </xf>
    <xf numFmtId="4" fontId="24" fillId="0" borderId="0" xfId="0" applyNumberFormat="1" applyFont="1" applyAlignment="1">
      <alignment/>
    </xf>
    <xf numFmtId="41" fontId="30" fillId="0" borderId="0" xfId="0" applyNumberFormat="1" applyFont="1" applyBorder="1" applyAlignment="1">
      <alignment vertical="center"/>
    </xf>
    <xf numFmtId="4" fontId="24" fillId="0" borderId="0" xfId="0" applyNumberFormat="1" applyFont="1" applyAlignment="1">
      <alignment vertical="center"/>
    </xf>
    <xf numFmtId="41" fontId="91" fillId="0" borderId="0" xfId="0" applyNumberFormat="1" applyFont="1" applyAlignment="1">
      <alignment/>
    </xf>
    <xf numFmtId="0" fontId="33" fillId="0" borderId="0" xfId="0" applyFont="1" applyAlignment="1">
      <alignment horizontal="left" vertical="center"/>
    </xf>
    <xf numFmtId="41" fontId="29" fillId="0" borderId="0" xfId="0" applyNumberFormat="1" applyFont="1" applyBorder="1" applyAlignment="1">
      <alignment vertical="center"/>
    </xf>
    <xf numFmtId="0" fontId="33" fillId="0" borderId="0" xfId="0" applyFont="1" applyAlignment="1">
      <alignment horizontal="left" vertical="center" indent="5"/>
    </xf>
    <xf numFmtId="4" fontId="91" fillId="0" borderId="0" xfId="0" applyNumberFormat="1" applyFont="1" applyAlignment="1">
      <alignment vertical="center"/>
    </xf>
    <xf numFmtId="41" fontId="30" fillId="0" borderId="0" xfId="0" applyNumberFormat="1" applyFont="1" applyAlignment="1">
      <alignment vertical="center"/>
    </xf>
    <xf numFmtId="168" fontId="129" fillId="0" borderId="0" xfId="0" applyNumberFormat="1" applyFont="1" applyAlignment="1">
      <alignment vertical="center"/>
    </xf>
    <xf numFmtId="168" fontId="30" fillId="0" borderId="0" xfId="0" applyNumberFormat="1" applyFont="1" applyAlignment="1">
      <alignment vertical="center"/>
    </xf>
    <xf numFmtId="178" fontId="127" fillId="0" borderId="0" xfId="50" applyFont="1" applyBorder="1" applyAlignment="1">
      <alignment/>
    </xf>
    <xf numFmtId="0" fontId="22" fillId="0" borderId="0" xfId="56" applyFont="1">
      <alignment/>
      <protection/>
    </xf>
    <xf numFmtId="0" fontId="135" fillId="0" borderId="0" xfId="56" applyFont="1">
      <alignment/>
      <protection/>
    </xf>
    <xf numFmtId="9" fontId="91" fillId="0" borderId="0" xfId="60" applyFont="1" applyAlignment="1">
      <alignment/>
    </xf>
    <xf numFmtId="39" fontId="94" fillId="0" borderId="0" xfId="0" applyNumberFormat="1" applyFont="1" applyAlignment="1">
      <alignment/>
    </xf>
    <xf numFmtId="0" fontId="136" fillId="0" borderId="0" xfId="0" applyFont="1" applyFill="1" applyAlignment="1">
      <alignment horizontal="center"/>
    </xf>
    <xf numFmtId="39" fontId="116" fillId="0" borderId="0" xfId="0" applyNumberFormat="1" applyFont="1" applyFill="1" applyAlignment="1">
      <alignment/>
    </xf>
    <xf numFmtId="39" fontId="115" fillId="0" borderId="0" xfId="48" applyNumberFormat="1" applyFont="1" applyFill="1" applyBorder="1" applyAlignment="1">
      <alignment/>
    </xf>
    <xf numFmtId="0" fontId="115" fillId="0" borderId="0" xfId="48" applyFont="1" applyFill="1" applyBorder="1" applyAlignment="1">
      <alignment/>
    </xf>
    <xf numFmtId="39" fontId="115" fillId="0" borderId="13" xfId="0" applyNumberFormat="1" applyFont="1" applyFill="1" applyBorder="1" applyAlignment="1">
      <alignment horizontal="right"/>
    </xf>
    <xf numFmtId="39" fontId="115" fillId="0" borderId="13" xfId="0" applyNumberFormat="1" applyFont="1" applyFill="1" applyBorder="1" applyAlignment="1">
      <alignment/>
    </xf>
    <xf numFmtId="0" fontId="116" fillId="0" borderId="13" xfId="0" applyFont="1" applyFill="1" applyBorder="1" applyAlignment="1">
      <alignment/>
    </xf>
    <xf numFmtId="39" fontId="115" fillId="0" borderId="17" xfId="0" applyNumberFormat="1" applyFont="1" applyFill="1" applyBorder="1" applyAlignment="1">
      <alignment/>
    </xf>
    <xf numFmtId="39" fontId="91" fillId="0" borderId="0" xfId="0" applyNumberFormat="1" applyFont="1" applyFill="1" applyAlignment="1">
      <alignment/>
    </xf>
    <xf numFmtId="39" fontId="137" fillId="0" borderId="0" xfId="0" applyNumberFormat="1" applyFont="1" applyFill="1" applyAlignment="1">
      <alignment/>
    </xf>
    <xf numFmtId="0" fontId="137" fillId="0" borderId="0" xfId="0" applyFont="1" applyFill="1" applyAlignment="1">
      <alignment/>
    </xf>
    <xf numFmtId="0" fontId="136" fillId="0" borderId="0" xfId="48" applyFont="1" applyFill="1" applyAlignment="1">
      <alignment horizontal="center"/>
    </xf>
    <xf numFmtId="0" fontId="115" fillId="0" borderId="0" xfId="0" applyFont="1" applyFill="1" applyAlignment="1">
      <alignment/>
    </xf>
    <xf numFmtId="0" fontId="115" fillId="0" borderId="13" xfId="48" applyFont="1" applyFill="1" applyBorder="1" applyAlignment="1">
      <alignment/>
    </xf>
    <xf numFmtId="181" fontId="138" fillId="0" borderId="10" xfId="0" applyNumberFormat="1" applyFont="1" applyFill="1" applyBorder="1" applyAlignment="1">
      <alignment/>
    </xf>
    <xf numFmtId="0" fontId="118" fillId="0" borderId="11" xfId="48" applyFont="1" applyFill="1" applyBorder="1" applyAlignment="1">
      <alignment/>
    </xf>
    <xf numFmtId="0" fontId="118" fillId="0" borderId="0" xfId="0" applyFont="1" applyFill="1" applyAlignment="1">
      <alignment/>
    </xf>
    <xf numFmtId="0" fontId="139" fillId="0" borderId="0" xfId="0" applyFont="1" applyFill="1" applyAlignment="1">
      <alignment/>
    </xf>
    <xf numFmtId="0" fontId="136" fillId="0" borderId="0" xfId="0" applyFont="1" applyFill="1" applyAlignment="1">
      <alignment horizontal="right"/>
    </xf>
    <xf numFmtId="39" fontId="140" fillId="0" borderId="0" xfId="0" applyNumberFormat="1" applyFont="1" applyFill="1" applyAlignment="1">
      <alignment/>
    </xf>
    <xf numFmtId="0" fontId="118" fillId="0" borderId="10" xfId="0" applyFont="1" applyFill="1" applyBorder="1" applyAlignment="1">
      <alignment/>
    </xf>
    <xf numFmtId="0" fontId="94" fillId="0" borderId="0" xfId="0" applyFont="1" applyFill="1" applyAlignment="1">
      <alignment/>
    </xf>
    <xf numFmtId="39" fontId="141" fillId="0" borderId="0" xfId="0" applyNumberFormat="1" applyFont="1" applyFill="1" applyAlignment="1">
      <alignment/>
    </xf>
    <xf numFmtId="0" fontId="139" fillId="0" borderId="0" xfId="0" applyFont="1" applyFill="1" applyAlignment="1">
      <alignment horizontal="right"/>
    </xf>
    <xf numFmtId="0" fontId="118" fillId="0" borderId="10" xfId="48" applyFont="1" applyFill="1" applyBorder="1" applyAlignment="1">
      <alignment/>
    </xf>
    <xf numFmtId="39" fontId="115" fillId="0" borderId="0" xfId="0" applyNumberFormat="1" applyFont="1" applyFill="1" applyBorder="1" applyAlignment="1">
      <alignment/>
    </xf>
    <xf numFmtId="173" fontId="116" fillId="0" borderId="0" xfId="0" applyNumberFormat="1" applyFont="1" applyFill="1" applyAlignment="1">
      <alignment/>
    </xf>
    <xf numFmtId="39" fontId="116" fillId="0" borderId="17" xfId="0" applyNumberFormat="1" applyFont="1" applyFill="1" applyBorder="1" applyAlignment="1">
      <alignment/>
    </xf>
    <xf numFmtId="0" fontId="118" fillId="0" borderId="0" xfId="48" applyFont="1" applyFill="1" applyAlignment="1">
      <alignment/>
    </xf>
    <xf numFmtId="180" fontId="118" fillId="0" borderId="0" xfId="0" applyNumberFormat="1" applyFont="1" applyFill="1" applyAlignment="1">
      <alignment/>
    </xf>
    <xf numFmtId="39" fontId="137" fillId="0" borderId="17" xfId="0" applyNumberFormat="1" applyFont="1" applyFill="1" applyBorder="1" applyAlignment="1">
      <alignment/>
    </xf>
    <xf numFmtId="4" fontId="116" fillId="0" borderId="0" xfId="0" applyNumberFormat="1" applyFont="1" applyFill="1" applyAlignment="1">
      <alignment/>
    </xf>
    <xf numFmtId="4" fontId="116" fillId="0" borderId="17" xfId="0" applyNumberFormat="1" applyFont="1" applyFill="1" applyBorder="1" applyAlignment="1">
      <alignment/>
    </xf>
    <xf numFmtId="4" fontId="138" fillId="0" borderId="0" xfId="0" applyNumberFormat="1" applyFont="1" applyFill="1" applyAlignment="1">
      <alignment/>
    </xf>
    <xf numFmtId="0" fontId="116" fillId="0" borderId="17" xfId="0" applyFont="1" applyFill="1" applyBorder="1" applyAlignment="1">
      <alignment/>
    </xf>
    <xf numFmtId="39" fontId="118" fillId="0" borderId="18" xfId="0" applyNumberFormat="1" applyFont="1" applyFill="1" applyBorder="1" applyAlignment="1">
      <alignment/>
    </xf>
    <xf numFmtId="0" fontId="118" fillId="0" borderId="18" xfId="0" applyFont="1" applyFill="1" applyBorder="1" applyAlignment="1">
      <alignment/>
    </xf>
    <xf numFmtId="0" fontId="118" fillId="0" borderId="17" xfId="48" applyFont="1" applyFill="1" applyBorder="1" applyAlignment="1">
      <alignment/>
    </xf>
    <xf numFmtId="0" fontId="91" fillId="0" borderId="17" xfId="0" applyFont="1" applyFill="1" applyBorder="1" applyAlignment="1">
      <alignment/>
    </xf>
    <xf numFmtId="0" fontId="118" fillId="0" borderId="0" xfId="0" applyFont="1" applyFill="1" applyBorder="1" applyAlignment="1">
      <alignment/>
    </xf>
    <xf numFmtId="0" fontId="91" fillId="0" borderId="0" xfId="0" applyFont="1" applyFill="1" applyBorder="1" applyAlignment="1">
      <alignment/>
    </xf>
    <xf numFmtId="39" fontId="137" fillId="0" borderId="0" xfId="0" applyNumberFormat="1" applyFont="1" applyAlignment="1">
      <alignment/>
    </xf>
    <xf numFmtId="181" fontId="116" fillId="0" borderId="0" xfId="0" applyNumberFormat="1" applyFont="1" applyFill="1" applyAlignment="1">
      <alignment/>
    </xf>
    <xf numFmtId="0" fontId="91" fillId="0" borderId="21" xfId="0" applyFont="1" applyFill="1" applyBorder="1" applyAlignment="1">
      <alignment/>
    </xf>
    <xf numFmtId="0" fontId="136" fillId="0" borderId="10" xfId="48" applyFont="1" applyFill="1" applyBorder="1" applyAlignment="1">
      <alignment/>
    </xf>
    <xf numFmtId="0" fontId="0" fillId="0" borderId="23" xfId="0" applyBorder="1" applyAlignment="1">
      <alignment/>
    </xf>
    <xf numFmtId="39" fontId="0" fillId="0" borderId="23" xfId="0" applyNumberFormat="1" applyBorder="1" applyAlignment="1">
      <alignment/>
    </xf>
    <xf numFmtId="39" fontId="108" fillId="0" borderId="23" xfId="0" applyNumberFormat="1" applyFont="1" applyBorder="1" applyAlignment="1">
      <alignment/>
    </xf>
    <xf numFmtId="0" fontId="108" fillId="0" borderId="23" xfId="0" applyFont="1" applyBorder="1" applyAlignment="1">
      <alignment horizontal="center"/>
    </xf>
    <xf numFmtId="0" fontId="0" fillId="33" borderId="0" xfId="0" applyFill="1" applyAlignment="1">
      <alignment/>
    </xf>
    <xf numFmtId="0" fontId="0" fillId="33" borderId="0" xfId="48" applyFont="1" applyFill="1" applyAlignment="1">
      <alignment/>
    </xf>
    <xf numFmtId="0" fontId="6" fillId="34" borderId="0" xfId="55" applyFont="1" applyFill="1">
      <alignment/>
      <protection/>
    </xf>
    <xf numFmtId="0" fontId="0" fillId="34" borderId="0" xfId="0" applyFill="1" applyAlignment="1">
      <alignment/>
    </xf>
    <xf numFmtId="39" fontId="24" fillId="34" borderId="0" xfId="55" applyNumberFormat="1" applyFont="1" applyFill="1">
      <alignment/>
      <protection/>
    </xf>
    <xf numFmtId="39" fontId="0" fillId="34" borderId="0" xfId="0" applyNumberFormat="1" applyFill="1" applyAlignment="1">
      <alignment/>
    </xf>
    <xf numFmtId="9" fontId="91" fillId="34" borderId="0" xfId="60" applyFont="1" applyFill="1" applyAlignment="1">
      <alignment/>
    </xf>
    <xf numFmtId="0" fontId="91" fillId="34" borderId="0" xfId="0" applyFont="1" applyFill="1" applyAlignment="1">
      <alignment/>
    </xf>
    <xf numFmtId="0" fontId="111" fillId="34" borderId="0" xfId="55" applyFont="1" applyFill="1">
      <alignment/>
      <protection/>
    </xf>
    <xf numFmtId="39" fontId="0" fillId="34" borderId="0" xfId="55" applyNumberFormat="1" applyFont="1" applyFill="1">
      <alignment/>
      <protection/>
    </xf>
    <xf numFmtId="39" fontId="0" fillId="34" borderId="0" xfId="0" applyNumberFormat="1" applyFont="1" applyFill="1" applyAlignment="1">
      <alignment/>
    </xf>
    <xf numFmtId="0" fontId="142" fillId="0" borderId="0" xfId="0" applyFont="1" applyAlignment="1">
      <alignment horizontal="left" vertical="center"/>
    </xf>
    <xf numFmtId="0" fontId="131" fillId="0" borderId="0" xfId="0" applyFont="1" applyAlignment="1">
      <alignment vertical="center"/>
    </xf>
    <xf numFmtId="0" fontId="131" fillId="0" borderId="0" xfId="48" applyFont="1" applyAlignment="1">
      <alignment vertical="center"/>
    </xf>
    <xf numFmtId="0" fontId="129" fillId="0" borderId="0" xfId="0" applyFont="1" applyAlignment="1">
      <alignment horizontal="right" vertical="center"/>
    </xf>
    <xf numFmtId="0" fontId="131" fillId="0" borderId="0" xfId="0" applyFont="1" applyAlignment="1">
      <alignment horizontal="right" vertical="center"/>
    </xf>
    <xf numFmtId="41" fontId="143" fillId="0" borderId="0" xfId="0" applyNumberFormat="1" applyFont="1" applyAlignment="1">
      <alignment vertical="center"/>
    </xf>
    <xf numFmtId="0" fontId="0" fillId="34" borderId="0" xfId="48" applyFont="1" applyFill="1" applyAlignment="1">
      <alignment/>
    </xf>
    <xf numFmtId="0" fontId="6" fillId="34" borderId="0" xfId="48" applyFont="1" applyFill="1" applyAlignment="1">
      <alignment/>
    </xf>
    <xf numFmtId="0" fontId="24" fillId="34" borderId="0" xfId="48" applyFont="1" applyFill="1" applyAlignment="1">
      <alignment/>
    </xf>
    <xf numFmtId="0" fontId="91" fillId="34" borderId="0" xfId="48" applyFont="1" applyFill="1" applyAlignment="1">
      <alignment/>
    </xf>
    <xf numFmtId="181" fontId="91" fillId="0" borderId="0" xfId="0" applyNumberFormat="1" applyFont="1" applyAlignment="1">
      <alignment/>
    </xf>
    <xf numFmtId="181" fontId="91" fillId="34" borderId="0" xfId="0" applyNumberFormat="1" applyFont="1" applyFill="1" applyAlignment="1">
      <alignment/>
    </xf>
    <xf numFmtId="0" fontId="129" fillId="0" borderId="0" xfId="0" applyFont="1" applyBorder="1" applyAlignment="1">
      <alignment vertical="center"/>
    </xf>
    <xf numFmtId="0" fontId="144" fillId="0" borderId="0" xfId="0" applyFont="1" applyBorder="1" applyAlignment="1">
      <alignment horizontal="left" vertical="center"/>
    </xf>
    <xf numFmtId="1" fontId="145" fillId="0" borderId="0" xfId="0" applyNumberFormat="1" applyFont="1" applyBorder="1" applyAlignment="1">
      <alignment horizontal="center" vertical="center"/>
    </xf>
    <xf numFmtId="0" fontId="130" fillId="0" borderId="0" xfId="0" applyFont="1" applyBorder="1" applyAlignment="1">
      <alignment horizontal="center" vertical="center"/>
    </xf>
    <xf numFmtId="0" fontId="130" fillId="0" borderId="0" xfId="0" applyFont="1" applyFill="1" applyBorder="1" applyAlignment="1">
      <alignment horizontal="left" vertical="center"/>
    </xf>
    <xf numFmtId="0" fontId="129" fillId="0" borderId="0" xfId="0" applyFont="1" applyFill="1" applyBorder="1" applyAlignment="1">
      <alignment horizontal="justify" vertical="center"/>
    </xf>
    <xf numFmtId="39" fontId="130" fillId="0" borderId="0" xfId="0" applyNumberFormat="1" applyFont="1" applyFill="1" applyBorder="1" applyAlignment="1">
      <alignment vertical="center"/>
    </xf>
    <xf numFmtId="39" fontId="129" fillId="0" borderId="0" xfId="0" applyNumberFormat="1" applyFont="1" applyFill="1" applyBorder="1" applyAlignment="1">
      <alignment vertical="center"/>
    </xf>
    <xf numFmtId="41" fontId="129" fillId="0" borderId="0" xfId="0" applyNumberFormat="1" applyFont="1" applyFill="1" applyBorder="1" applyAlignment="1">
      <alignment vertical="center"/>
    </xf>
    <xf numFmtId="41" fontId="129" fillId="0" borderId="0" xfId="0" applyNumberFormat="1" applyFont="1" applyFill="1" applyBorder="1" applyAlignment="1">
      <alignment horizontal="left" vertical="center"/>
    </xf>
    <xf numFmtId="41" fontId="129" fillId="0" borderId="0" xfId="0" applyNumberFormat="1" applyFont="1" applyFill="1" applyBorder="1" applyAlignment="1">
      <alignment horizontal="left" vertical="center" indent="5"/>
    </xf>
    <xf numFmtId="41" fontId="130" fillId="0" borderId="0" xfId="0" applyNumberFormat="1" applyFont="1" applyFill="1" applyBorder="1" applyAlignment="1">
      <alignment vertical="center"/>
    </xf>
    <xf numFmtId="41" fontId="146" fillId="0" borderId="0" xfId="0" applyNumberFormat="1" applyFont="1" applyFill="1" applyBorder="1" applyAlignment="1">
      <alignment horizontal="left" vertical="center"/>
    </xf>
    <xf numFmtId="41" fontId="129" fillId="0" borderId="0" xfId="0" applyNumberFormat="1" applyFont="1" applyFill="1" applyBorder="1" applyAlignment="1">
      <alignment/>
    </xf>
    <xf numFmtId="0" fontId="130" fillId="0" borderId="0" xfId="0" applyFont="1" applyFill="1" applyBorder="1" applyAlignment="1">
      <alignment horizontal="left" vertical="top"/>
    </xf>
    <xf numFmtId="41" fontId="130" fillId="0" borderId="11" xfId="0" applyNumberFormat="1" applyFont="1" applyFill="1" applyBorder="1" applyAlignment="1">
      <alignment vertical="center"/>
    </xf>
    <xf numFmtId="41" fontId="129" fillId="0" borderId="13" xfId="0" applyNumberFormat="1" applyFont="1" applyFill="1" applyBorder="1" applyAlignment="1">
      <alignment vertical="center"/>
    </xf>
    <xf numFmtId="41" fontId="129" fillId="0" borderId="13" xfId="0" applyNumberFormat="1" applyFont="1" applyFill="1" applyBorder="1" applyAlignment="1">
      <alignment/>
    </xf>
    <xf numFmtId="41" fontId="130" fillId="0" borderId="13" xfId="0" applyNumberFormat="1" applyFont="1" applyFill="1" applyBorder="1" applyAlignment="1">
      <alignment vertical="center"/>
    </xf>
    <xf numFmtId="0" fontId="130" fillId="0" borderId="0" xfId="0" applyFont="1" applyBorder="1" applyAlignment="1">
      <alignment horizontal="left" vertical="center"/>
    </xf>
    <xf numFmtId="0" fontId="129" fillId="0" borderId="0" xfId="0" applyFont="1" applyBorder="1" applyAlignment="1">
      <alignment horizontal="justify" vertical="center"/>
    </xf>
    <xf numFmtId="39" fontId="130" fillId="0" borderId="0" xfId="0" applyNumberFormat="1" applyFont="1" applyBorder="1" applyAlignment="1">
      <alignment vertical="center"/>
    </xf>
    <xf numFmtId="39" fontId="129" fillId="0" borderId="0" xfId="0" applyNumberFormat="1" applyFont="1" applyBorder="1" applyAlignment="1">
      <alignment vertical="center"/>
    </xf>
    <xf numFmtId="41" fontId="129" fillId="0" borderId="0" xfId="0" applyNumberFormat="1" applyFont="1" applyBorder="1" applyAlignment="1">
      <alignment vertical="center"/>
    </xf>
    <xf numFmtId="41" fontId="129" fillId="0" borderId="0" xfId="0" applyNumberFormat="1" applyFont="1" applyBorder="1" applyAlignment="1">
      <alignment horizontal="left" vertical="center"/>
    </xf>
    <xf numFmtId="41" fontId="130" fillId="0" borderId="0" xfId="0" applyNumberFormat="1" applyFont="1" applyBorder="1" applyAlignment="1">
      <alignment vertical="center"/>
    </xf>
    <xf numFmtId="0" fontId="129" fillId="0" borderId="0" xfId="0" applyFont="1" applyBorder="1" applyAlignment="1">
      <alignment horizontal="left" vertical="center"/>
    </xf>
    <xf numFmtId="41" fontId="146" fillId="0" borderId="0" xfId="0" applyNumberFormat="1" applyFont="1" applyBorder="1" applyAlignment="1">
      <alignment horizontal="left" vertical="center"/>
    </xf>
    <xf numFmtId="41" fontId="129" fillId="0" borderId="13" xfId="0" applyNumberFormat="1" applyFont="1" applyBorder="1" applyAlignment="1">
      <alignment vertical="center"/>
    </xf>
    <xf numFmtId="0" fontId="129" fillId="0" borderId="13" xfId="0" applyFont="1" applyBorder="1" applyAlignment="1">
      <alignment vertical="center"/>
    </xf>
    <xf numFmtId="41" fontId="130" fillId="0" borderId="10" xfId="0" applyNumberFormat="1" applyFont="1" applyBorder="1" applyAlignment="1">
      <alignment vertical="center"/>
    </xf>
    <xf numFmtId="0" fontId="147" fillId="0" borderId="0" xfId="0" applyFont="1" applyBorder="1" applyAlignment="1">
      <alignment horizontal="center" vertical="center"/>
    </xf>
    <xf numFmtId="0" fontId="129" fillId="0" borderId="0" xfId="0" applyFont="1" applyBorder="1" applyAlignment="1">
      <alignment/>
    </xf>
    <xf numFmtId="0" fontId="144" fillId="0" borderId="0" xfId="0" applyFont="1" applyBorder="1" applyAlignment="1">
      <alignment horizontal="left" vertical="center" indent="4"/>
    </xf>
    <xf numFmtId="41" fontId="129" fillId="0" borderId="0" xfId="0" applyNumberFormat="1" applyFont="1" applyBorder="1" applyAlignment="1">
      <alignment/>
    </xf>
    <xf numFmtId="41" fontId="129" fillId="0" borderId="0" xfId="0" applyNumberFormat="1" applyFont="1" applyBorder="1" applyAlignment="1">
      <alignment horizontal="left" vertical="center" indent="5"/>
    </xf>
    <xf numFmtId="41" fontId="129" fillId="0" borderId="0" xfId="0" applyNumberFormat="1" applyFont="1" applyBorder="1" applyAlignment="1">
      <alignment/>
    </xf>
    <xf numFmtId="0" fontId="129" fillId="0" borderId="0" xfId="0" applyFont="1" applyBorder="1" applyAlignment="1">
      <alignment vertical="center" wrapText="1"/>
    </xf>
    <xf numFmtId="0" fontId="129" fillId="0" borderId="0" xfId="0" applyFont="1" applyBorder="1" applyAlignment="1">
      <alignment wrapText="1"/>
    </xf>
    <xf numFmtId="0" fontId="130" fillId="0" borderId="0" xfId="0" applyFont="1" applyBorder="1" applyAlignment="1">
      <alignment vertical="center"/>
    </xf>
    <xf numFmtId="41" fontId="129" fillId="0" borderId="13" xfId="0" applyNumberFormat="1" applyFont="1" applyBorder="1" applyAlignment="1">
      <alignment/>
    </xf>
    <xf numFmtId="41" fontId="130" fillId="0" borderId="11" xfId="0" applyNumberFormat="1" applyFont="1" applyBorder="1" applyAlignment="1">
      <alignment/>
    </xf>
    <xf numFmtId="41" fontId="130" fillId="0" borderId="11" xfId="0" applyNumberFormat="1" applyFont="1" applyBorder="1" applyAlignment="1">
      <alignment horizontal="left" vertical="center" indent="5"/>
    </xf>
    <xf numFmtId="41" fontId="130" fillId="0" borderId="11" xfId="0" applyNumberFormat="1" applyFont="1" applyBorder="1" applyAlignment="1">
      <alignment vertical="center"/>
    </xf>
    <xf numFmtId="41" fontId="146" fillId="0" borderId="11" xfId="0" applyNumberFormat="1" applyFont="1" applyBorder="1" applyAlignment="1">
      <alignment horizontal="left" vertical="center" indent="4"/>
    </xf>
    <xf numFmtId="41" fontId="129" fillId="0" borderId="11" xfId="0" applyNumberFormat="1" applyFont="1" applyBorder="1" applyAlignment="1">
      <alignment/>
    </xf>
    <xf numFmtId="41" fontId="129" fillId="0" borderId="11" xfId="0" applyNumberFormat="1" applyFont="1" applyBorder="1" applyAlignment="1">
      <alignment vertical="center"/>
    </xf>
    <xf numFmtId="0" fontId="130" fillId="0" borderId="0" xfId="0" applyFont="1" applyBorder="1" applyAlignment="1">
      <alignment horizontal="center" vertical="center" wrapText="1"/>
    </xf>
    <xf numFmtId="0" fontId="130" fillId="0" borderId="0" xfId="0" applyFont="1" applyBorder="1" applyAlignment="1">
      <alignment horizontal="center"/>
    </xf>
    <xf numFmtId="0" fontId="145" fillId="0" borderId="0" xfId="0" applyFont="1" applyBorder="1" applyAlignment="1">
      <alignment horizontal="center" vertical="center"/>
    </xf>
    <xf numFmtId="0" fontId="130" fillId="0" borderId="0" xfId="0" applyFont="1" applyBorder="1" applyAlignment="1">
      <alignment horizontal="left" vertical="top"/>
    </xf>
    <xf numFmtId="0" fontId="129" fillId="0" borderId="0" xfId="0" applyFont="1" applyBorder="1" applyAlignment="1">
      <alignment horizontal="justify" vertical="top"/>
    </xf>
    <xf numFmtId="41" fontId="129" fillId="0" borderId="13" xfId="0" applyNumberFormat="1" applyFont="1" applyBorder="1" applyAlignment="1">
      <alignment/>
    </xf>
    <xf numFmtId="0" fontId="29" fillId="0" borderId="0" xfId="0" applyFont="1" applyFill="1" applyBorder="1" applyAlignment="1">
      <alignment horizontal="center" vertical="top" wrapText="1"/>
    </xf>
    <xf numFmtId="191" fontId="134"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4" fontId="29" fillId="0" borderId="0" xfId="48" applyNumberFormat="1" applyFont="1" applyFill="1" applyBorder="1" applyAlignment="1">
      <alignment horizontal="right" vertical="top" wrapText="1"/>
    </xf>
    <xf numFmtId="9" fontId="29" fillId="0" borderId="0" xfId="60" applyFont="1" applyFill="1" applyBorder="1" applyAlignment="1">
      <alignment horizontal="center" vertical="top" wrapText="1"/>
    </xf>
    <xf numFmtId="192" fontId="148" fillId="0" borderId="0" xfId="0" applyNumberFormat="1" applyFont="1" applyFill="1" applyBorder="1" applyAlignment="1">
      <alignment horizontal="left" vertical="top" wrapText="1"/>
    </xf>
    <xf numFmtId="0" fontId="30" fillId="0" borderId="0" xfId="0" applyFont="1" applyFill="1" applyBorder="1" applyAlignment="1">
      <alignment horizontal="left" vertical="top" wrapText="1"/>
    </xf>
    <xf numFmtId="4" fontId="30" fillId="0" borderId="0" xfId="48" applyNumberFormat="1" applyFont="1" applyFill="1" applyBorder="1" applyAlignment="1">
      <alignment horizontal="right" vertical="top" wrapText="1"/>
    </xf>
    <xf numFmtId="9" fontId="30" fillId="0" borderId="0" xfId="60" applyFont="1" applyFill="1" applyBorder="1" applyAlignment="1">
      <alignment horizontal="center" vertical="top" wrapText="1"/>
    </xf>
    <xf numFmtId="4" fontId="30" fillId="0" borderId="13" xfId="48" applyNumberFormat="1" applyFont="1" applyFill="1" applyBorder="1" applyAlignment="1">
      <alignment horizontal="right" vertical="top" wrapText="1"/>
    </xf>
    <xf numFmtId="9" fontId="30" fillId="0" borderId="13" xfId="60" applyFont="1" applyFill="1" applyBorder="1" applyAlignment="1">
      <alignment horizontal="center" vertical="top" wrapText="1"/>
    </xf>
    <xf numFmtId="39" fontId="29" fillId="0" borderId="10" xfId="48" applyNumberFormat="1" applyFont="1" applyFill="1" applyBorder="1" applyAlignment="1">
      <alignment horizontal="right" vertical="top" wrapText="1"/>
    </xf>
    <xf numFmtId="4" fontId="29" fillId="0" borderId="10" xfId="48" applyNumberFormat="1" applyFont="1" applyFill="1" applyBorder="1" applyAlignment="1">
      <alignment horizontal="right" vertical="top" wrapText="1"/>
    </xf>
    <xf numFmtId="9" fontId="29" fillId="0" borderId="10" xfId="60" applyFont="1" applyFill="1" applyBorder="1" applyAlignment="1">
      <alignment horizontal="center" vertical="top" wrapText="1"/>
    </xf>
    <xf numFmtId="0" fontId="31" fillId="0" borderId="0" xfId="0" applyFont="1" applyFill="1" applyBorder="1" applyAlignment="1">
      <alignment horizontal="left" vertical="center" wrapText="1"/>
    </xf>
    <xf numFmtId="43" fontId="108" fillId="0" borderId="0" xfId="0" applyNumberFormat="1" applyFont="1" applyAlignment="1">
      <alignment/>
    </xf>
    <xf numFmtId="0" fontId="8" fillId="0" borderId="0" xfId="55" applyFont="1" applyFill="1">
      <alignment/>
      <protection/>
    </xf>
    <xf numFmtId="0" fontId="6" fillId="0" borderId="0" xfId="55" applyFont="1" applyFill="1">
      <alignment/>
      <protection/>
    </xf>
    <xf numFmtId="0" fontId="108" fillId="0" borderId="0" xfId="0" applyFont="1" applyAlignment="1">
      <alignment/>
    </xf>
    <xf numFmtId="39" fontId="0" fillId="0" borderId="0" xfId="0" applyNumberFormat="1" applyFont="1" applyAlignment="1">
      <alignment/>
    </xf>
    <xf numFmtId="39" fontId="0" fillId="0" borderId="13" xfId="0" applyNumberFormat="1" applyFont="1" applyBorder="1" applyAlignment="1">
      <alignment/>
    </xf>
    <xf numFmtId="0" fontId="149" fillId="0" borderId="0" xfId="0" applyFont="1" applyAlignment="1">
      <alignment horizontal="left" vertical="top"/>
    </xf>
    <xf numFmtId="0" fontId="150" fillId="0" borderId="0" xfId="0" applyFont="1" applyAlignment="1">
      <alignment/>
    </xf>
    <xf numFmtId="183" fontId="108" fillId="0" borderId="23" xfId="0" applyNumberFormat="1" applyFont="1" applyBorder="1" applyAlignment="1">
      <alignment horizontal="center"/>
    </xf>
    <xf numFmtId="0" fontId="108" fillId="0" borderId="23" xfId="0" applyFont="1" applyBorder="1" applyAlignment="1">
      <alignment/>
    </xf>
    <xf numFmtId="14" fontId="0" fillId="0" borderId="23" xfId="0" applyNumberFormat="1" applyBorder="1" applyAlignment="1">
      <alignment/>
    </xf>
    <xf numFmtId="0" fontId="0" fillId="0" borderId="23" xfId="0" applyFill="1" applyBorder="1" applyAlignment="1">
      <alignment/>
    </xf>
    <xf numFmtId="183" fontId="0" fillId="0" borderId="23" xfId="0" applyNumberFormat="1" applyBorder="1" applyAlignment="1">
      <alignment/>
    </xf>
    <xf numFmtId="197" fontId="0" fillId="0" borderId="23" xfId="0" applyNumberFormat="1" applyBorder="1" applyAlignment="1">
      <alignment/>
    </xf>
    <xf numFmtId="183" fontId="0" fillId="0" borderId="23" xfId="0" applyNumberFormat="1" applyBorder="1" applyAlignment="1">
      <alignment wrapText="1"/>
    </xf>
    <xf numFmtId="183" fontId="108" fillId="0" borderId="23" xfId="0" applyNumberFormat="1" applyFont="1" applyBorder="1" applyAlignment="1">
      <alignment/>
    </xf>
    <xf numFmtId="183" fontId="0" fillId="0" borderId="0" xfId="0" applyNumberFormat="1" applyAlignment="1">
      <alignment/>
    </xf>
    <xf numFmtId="198" fontId="0" fillId="0" borderId="23" xfId="0" applyNumberFormat="1" applyBorder="1" applyAlignment="1">
      <alignment/>
    </xf>
    <xf numFmtId="4" fontId="0" fillId="0" borderId="23" xfId="0" applyNumberFormat="1" applyBorder="1" applyAlignment="1">
      <alignment/>
    </xf>
    <xf numFmtId="4" fontId="108" fillId="0" borderId="23" xfId="0" applyNumberFormat="1" applyFont="1" applyBorder="1" applyAlignment="1">
      <alignment/>
    </xf>
    <xf numFmtId="14" fontId="0" fillId="0" borderId="23" xfId="0" applyNumberFormat="1" applyFill="1" applyBorder="1" applyAlignment="1">
      <alignment/>
    </xf>
    <xf numFmtId="4" fontId="0" fillId="0" borderId="23" xfId="0" applyNumberFormat="1" applyFill="1" applyBorder="1" applyAlignment="1">
      <alignment/>
    </xf>
    <xf numFmtId="0" fontId="0" fillId="0" borderId="23" xfId="0" applyBorder="1" applyAlignment="1">
      <alignment wrapText="1"/>
    </xf>
    <xf numFmtId="0" fontId="108" fillId="0" borderId="23" xfId="0" applyFont="1" applyBorder="1" applyAlignment="1">
      <alignment wrapText="1"/>
    </xf>
    <xf numFmtId="0" fontId="108" fillId="0" borderId="0" xfId="0" applyFont="1" applyBorder="1" applyAlignment="1">
      <alignment wrapText="1"/>
    </xf>
    <xf numFmtId="39" fontId="108" fillId="0" borderId="0" xfId="0" applyNumberFormat="1" applyFont="1" applyBorder="1" applyAlignment="1">
      <alignment/>
    </xf>
    <xf numFmtId="0" fontId="108" fillId="0" borderId="13" xfId="0" applyFont="1" applyFill="1" applyBorder="1" applyAlignment="1">
      <alignment wrapText="1"/>
    </xf>
    <xf numFmtId="0" fontId="0" fillId="0" borderId="0" xfId="0" applyFill="1" applyBorder="1" applyAlignment="1">
      <alignment wrapText="1"/>
    </xf>
    <xf numFmtId="0" fontId="147" fillId="0" borderId="0" xfId="0" applyFont="1" applyBorder="1" applyAlignment="1">
      <alignment horizontal="center" vertical="center"/>
    </xf>
    <xf numFmtId="0" fontId="151" fillId="0" borderId="24" xfId="0" applyFont="1" applyFill="1" applyBorder="1" applyAlignment="1">
      <alignment horizontal="left" vertical="center"/>
    </xf>
    <xf numFmtId="0" fontId="151" fillId="0" borderId="17" xfId="0" applyFont="1" applyFill="1" applyBorder="1" applyAlignment="1">
      <alignment horizontal="left" vertical="center"/>
    </xf>
    <xf numFmtId="0" fontId="151" fillId="0" borderId="25" xfId="0" applyFont="1" applyFill="1" applyBorder="1" applyAlignment="1">
      <alignment horizontal="left" vertical="center"/>
    </xf>
    <xf numFmtId="0" fontId="129" fillId="0" borderId="0" xfId="0" applyFont="1" applyBorder="1" applyAlignment="1">
      <alignment horizontal="left" vertical="center"/>
    </xf>
    <xf numFmtId="0" fontId="4" fillId="0" borderId="0" xfId="56" applyFont="1" applyAlignment="1">
      <alignment horizontal="center"/>
      <protection/>
    </xf>
    <xf numFmtId="0" fontId="133" fillId="0" borderId="0" xfId="0" applyFont="1" applyFill="1" applyBorder="1" applyAlignment="1">
      <alignment horizontal="center" vertical="center"/>
    </xf>
    <xf numFmtId="0" fontId="134"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08" fillId="0" borderId="13" xfId="0" applyFont="1" applyFill="1" applyBorder="1" applyAlignment="1">
      <alignment horizontal="center"/>
    </xf>
    <xf numFmtId="0" fontId="108" fillId="0" borderId="0" xfId="0" applyFont="1" applyFill="1" applyBorder="1" applyAlignment="1">
      <alignment horizontal="center"/>
    </xf>
    <xf numFmtId="0" fontId="11" fillId="0" borderId="0" xfId="0" applyFont="1" applyFill="1" applyAlignment="1">
      <alignment horizontal="center"/>
    </xf>
    <xf numFmtId="0" fontId="5" fillId="0" borderId="0" xfId="0" applyFont="1" applyFill="1" applyAlignment="1">
      <alignment horizontal="center"/>
    </xf>
    <xf numFmtId="0" fontId="7" fillId="0" borderId="13" xfId="55" applyFont="1" applyBorder="1" applyAlignment="1">
      <alignment horizontal="center"/>
      <protection/>
    </xf>
    <xf numFmtId="0" fontId="0" fillId="0" borderId="0" xfId="0" applyAlignment="1">
      <alignment horizontal="left" wrapText="1"/>
    </xf>
    <xf numFmtId="0" fontId="7" fillId="0" borderId="13" xfId="55" applyFont="1" applyBorder="1" applyAlignment="1">
      <alignment/>
      <protection/>
    </xf>
    <xf numFmtId="0" fontId="6" fillId="0" borderId="0" xfId="55" applyFont="1" applyBorder="1" applyAlignment="1">
      <alignment horizontal="left"/>
      <protection/>
    </xf>
    <xf numFmtId="0" fontId="7" fillId="0" borderId="0" xfId="55" applyFont="1" applyAlignment="1">
      <alignment horizontal="center"/>
      <protection/>
    </xf>
    <xf numFmtId="0" fontId="22" fillId="0" borderId="0" xfId="56" applyFont="1" applyAlignment="1">
      <alignment horizontal="left"/>
      <protection/>
    </xf>
    <xf numFmtId="0" fontId="108" fillId="0" borderId="0" xfId="0" applyFont="1" applyAlignment="1">
      <alignment horizontal="left"/>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Neutral" xfId="54"/>
    <cellStyle name="Normal 2" xfId="55"/>
    <cellStyle name="Normal 3" xfId="56"/>
    <cellStyle name="Notas" xfId="57"/>
    <cellStyle name="Notas 2" xfId="58"/>
    <cellStyle name="Notas 2 2"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809625</xdr:colOff>
      <xdr:row>67</xdr:row>
      <xdr:rowOff>114300</xdr:rowOff>
    </xdr:from>
    <xdr:to>
      <xdr:col>3</xdr:col>
      <xdr:colOff>685800</xdr:colOff>
      <xdr:row>68</xdr:row>
      <xdr:rowOff>38100</xdr:rowOff>
    </xdr:to>
    <xdr:pic>
      <xdr:nvPicPr>
        <xdr:cNvPr id="1" name="4 Imagen"/>
        <xdr:cNvPicPr preferRelativeResize="1">
          <a:picLocks noChangeAspect="1"/>
        </xdr:cNvPicPr>
      </xdr:nvPicPr>
      <xdr:blipFill>
        <a:blip r:embed="rId1"/>
        <a:stretch>
          <a:fillRect/>
        </a:stretch>
      </xdr:blipFill>
      <xdr:spPr>
        <a:xfrm>
          <a:off x="1257300" y="8953500"/>
          <a:ext cx="3429000" cy="114300"/>
        </a:xfrm>
        <a:prstGeom prst="rect">
          <a:avLst/>
        </a:prstGeom>
        <a:noFill/>
        <a:ln w="9525" cmpd="sng">
          <a:noFill/>
        </a:ln>
      </xdr:spPr>
    </xdr:pic>
    <xdr:clientData/>
  </xdr:twoCellAnchor>
  <xdr:twoCellAnchor editAs="oneCell">
    <xdr:from>
      <xdr:col>0</xdr:col>
      <xdr:colOff>0</xdr:colOff>
      <xdr:row>72</xdr:row>
      <xdr:rowOff>142875</xdr:rowOff>
    </xdr:from>
    <xdr:to>
      <xdr:col>1</xdr:col>
      <xdr:colOff>1885950</xdr:colOff>
      <xdr:row>73</xdr:row>
      <xdr:rowOff>28575</xdr:rowOff>
    </xdr:to>
    <xdr:pic>
      <xdr:nvPicPr>
        <xdr:cNvPr id="2" name="4 Imagen"/>
        <xdr:cNvPicPr preferRelativeResize="1">
          <a:picLocks noChangeAspect="1"/>
        </xdr:cNvPicPr>
      </xdr:nvPicPr>
      <xdr:blipFill>
        <a:blip r:embed="rId1"/>
        <a:stretch>
          <a:fillRect/>
        </a:stretch>
      </xdr:blipFill>
      <xdr:spPr>
        <a:xfrm>
          <a:off x="0" y="9934575"/>
          <a:ext cx="2333625" cy="76200"/>
        </a:xfrm>
        <a:prstGeom prst="rect">
          <a:avLst/>
        </a:prstGeom>
        <a:noFill/>
        <a:ln w="9525" cmpd="sng">
          <a:noFill/>
        </a:ln>
      </xdr:spPr>
    </xdr:pic>
    <xdr:clientData/>
  </xdr:twoCellAnchor>
  <xdr:twoCellAnchor editAs="oneCell">
    <xdr:from>
      <xdr:col>2</xdr:col>
      <xdr:colOff>0</xdr:colOff>
      <xdr:row>72</xdr:row>
      <xdr:rowOff>161925</xdr:rowOff>
    </xdr:from>
    <xdr:to>
      <xdr:col>8</xdr:col>
      <xdr:colOff>28575</xdr:colOff>
      <xdr:row>73</xdr:row>
      <xdr:rowOff>57150</xdr:rowOff>
    </xdr:to>
    <xdr:pic>
      <xdr:nvPicPr>
        <xdr:cNvPr id="3" name="4 Imagen"/>
        <xdr:cNvPicPr preferRelativeResize="1">
          <a:picLocks noChangeAspect="1"/>
        </xdr:cNvPicPr>
      </xdr:nvPicPr>
      <xdr:blipFill>
        <a:blip r:embed="rId1"/>
        <a:stretch>
          <a:fillRect/>
        </a:stretch>
      </xdr:blipFill>
      <xdr:spPr>
        <a:xfrm>
          <a:off x="3886200" y="9953625"/>
          <a:ext cx="2619375" cy="85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1771650</xdr:colOff>
      <xdr:row>0</xdr:row>
      <xdr:rowOff>9525</xdr:rowOff>
    </xdr:from>
    <xdr:to>
      <xdr:col>0</xdr:col>
      <xdr:colOff>3429000</xdr:colOff>
      <xdr:row>3</xdr:row>
      <xdr:rowOff>0</xdr:rowOff>
    </xdr:to>
    <xdr:pic>
      <xdr:nvPicPr>
        <xdr:cNvPr id="1" name="Picture 1" descr="Macintosh SSD:Users:onapi:Desktop:TIMBRADO INSTITUCIONA a color con logo onapi.jpg"/>
        <xdr:cNvPicPr preferRelativeResize="1">
          <a:picLocks noChangeAspect="1"/>
        </xdr:cNvPicPr>
      </xdr:nvPicPr>
      <xdr:blipFill>
        <a:blip r:embed="rId1"/>
        <a:stretch>
          <a:fillRect/>
        </a:stretch>
      </xdr:blipFill>
      <xdr:spPr>
        <a:xfrm>
          <a:off x="1771650" y="9525"/>
          <a:ext cx="16573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133350</xdr:rowOff>
    </xdr:from>
    <xdr:to>
      <xdr:col>1</xdr:col>
      <xdr:colOff>1828800</xdr:colOff>
      <xdr:row>47</xdr:row>
      <xdr:rowOff>19050</xdr:rowOff>
    </xdr:to>
    <xdr:pic>
      <xdr:nvPicPr>
        <xdr:cNvPr id="1" name="4 Imagen"/>
        <xdr:cNvPicPr preferRelativeResize="1">
          <a:picLocks noChangeAspect="1"/>
        </xdr:cNvPicPr>
      </xdr:nvPicPr>
      <xdr:blipFill>
        <a:blip r:embed="rId1"/>
        <a:stretch>
          <a:fillRect/>
        </a:stretch>
      </xdr:blipFill>
      <xdr:spPr>
        <a:xfrm>
          <a:off x="0" y="6877050"/>
          <a:ext cx="2371725" cy="76200"/>
        </a:xfrm>
        <a:prstGeom prst="rect">
          <a:avLst/>
        </a:prstGeom>
        <a:noFill/>
        <a:ln w="9525" cmpd="sng">
          <a:noFill/>
        </a:ln>
      </xdr:spPr>
    </xdr:pic>
    <xdr:clientData/>
  </xdr:twoCellAnchor>
  <xdr:twoCellAnchor editAs="oneCell">
    <xdr:from>
      <xdr:col>1</xdr:col>
      <xdr:colOff>3162300</xdr:colOff>
      <xdr:row>46</xdr:row>
      <xdr:rowOff>114300</xdr:rowOff>
    </xdr:from>
    <xdr:to>
      <xdr:col>6</xdr:col>
      <xdr:colOff>9525</xdr:colOff>
      <xdr:row>46</xdr:row>
      <xdr:rowOff>190500</xdr:rowOff>
    </xdr:to>
    <xdr:pic>
      <xdr:nvPicPr>
        <xdr:cNvPr id="2" name="4 Imagen"/>
        <xdr:cNvPicPr preferRelativeResize="1">
          <a:picLocks noChangeAspect="1"/>
        </xdr:cNvPicPr>
      </xdr:nvPicPr>
      <xdr:blipFill>
        <a:blip r:embed="rId1"/>
        <a:stretch>
          <a:fillRect/>
        </a:stretch>
      </xdr:blipFill>
      <xdr:spPr>
        <a:xfrm>
          <a:off x="3705225" y="6858000"/>
          <a:ext cx="2238375" cy="76200"/>
        </a:xfrm>
        <a:prstGeom prst="rect">
          <a:avLst/>
        </a:prstGeom>
        <a:noFill/>
        <a:ln w="9525" cmpd="sng">
          <a:noFill/>
        </a:ln>
      </xdr:spPr>
    </xdr:pic>
    <xdr:clientData/>
  </xdr:twoCellAnchor>
  <xdr:twoCellAnchor editAs="oneCell">
    <xdr:from>
      <xdr:col>1</xdr:col>
      <xdr:colOff>695325</xdr:colOff>
      <xdr:row>41</xdr:row>
      <xdr:rowOff>104775</xdr:rowOff>
    </xdr:from>
    <xdr:to>
      <xdr:col>4</xdr:col>
      <xdr:colOff>495300</xdr:colOff>
      <xdr:row>42</xdr:row>
      <xdr:rowOff>28575</xdr:rowOff>
    </xdr:to>
    <xdr:pic>
      <xdr:nvPicPr>
        <xdr:cNvPr id="3" name="5 Imagen"/>
        <xdr:cNvPicPr preferRelativeResize="1">
          <a:picLocks noChangeAspect="1"/>
        </xdr:cNvPicPr>
      </xdr:nvPicPr>
      <xdr:blipFill>
        <a:blip r:embed="rId2"/>
        <a:stretch>
          <a:fillRect/>
        </a:stretch>
      </xdr:blipFill>
      <xdr:spPr>
        <a:xfrm>
          <a:off x="1238250" y="5895975"/>
          <a:ext cx="3362325"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676275</xdr:colOff>
      <xdr:row>40</xdr:row>
      <xdr:rowOff>161925</xdr:rowOff>
    </xdr:from>
    <xdr:to>
      <xdr:col>12</xdr:col>
      <xdr:colOff>1095375</xdr:colOff>
      <xdr:row>41</xdr:row>
      <xdr:rowOff>114300</xdr:rowOff>
    </xdr:to>
    <xdr:pic>
      <xdr:nvPicPr>
        <xdr:cNvPr id="1" name="3 Imagen"/>
        <xdr:cNvPicPr preferRelativeResize="1">
          <a:picLocks noChangeAspect="1"/>
        </xdr:cNvPicPr>
      </xdr:nvPicPr>
      <xdr:blipFill>
        <a:blip r:embed="rId1"/>
        <a:stretch>
          <a:fillRect/>
        </a:stretch>
      </xdr:blipFill>
      <xdr:spPr>
        <a:xfrm>
          <a:off x="5724525" y="8591550"/>
          <a:ext cx="2705100" cy="142875"/>
        </a:xfrm>
        <a:prstGeom prst="rect">
          <a:avLst/>
        </a:prstGeom>
        <a:noFill/>
        <a:ln w="9525" cmpd="sng">
          <a:noFill/>
        </a:ln>
      </xdr:spPr>
    </xdr:pic>
    <xdr:clientData/>
  </xdr:twoCellAnchor>
  <xdr:twoCellAnchor editAs="oneCell">
    <xdr:from>
      <xdr:col>4</xdr:col>
      <xdr:colOff>257175</xdr:colOff>
      <xdr:row>35</xdr:row>
      <xdr:rowOff>66675</xdr:rowOff>
    </xdr:from>
    <xdr:to>
      <xdr:col>10</xdr:col>
      <xdr:colOff>390525</xdr:colOff>
      <xdr:row>35</xdr:row>
      <xdr:rowOff>180975</xdr:rowOff>
    </xdr:to>
    <xdr:pic>
      <xdr:nvPicPr>
        <xdr:cNvPr id="2" name="5 Imagen"/>
        <xdr:cNvPicPr preferRelativeResize="1">
          <a:picLocks noChangeAspect="1"/>
        </xdr:cNvPicPr>
      </xdr:nvPicPr>
      <xdr:blipFill>
        <a:blip r:embed="rId2"/>
        <a:stretch>
          <a:fillRect/>
        </a:stretch>
      </xdr:blipFill>
      <xdr:spPr>
        <a:xfrm>
          <a:off x="3114675" y="7543800"/>
          <a:ext cx="3400425" cy="114300"/>
        </a:xfrm>
        <a:prstGeom prst="rect">
          <a:avLst/>
        </a:prstGeom>
        <a:noFill/>
        <a:ln w="9525" cmpd="sng">
          <a:noFill/>
        </a:ln>
      </xdr:spPr>
    </xdr:pic>
    <xdr:clientData/>
  </xdr:twoCellAnchor>
  <xdr:twoCellAnchor editAs="oneCell">
    <xdr:from>
      <xdr:col>2</xdr:col>
      <xdr:colOff>0</xdr:colOff>
      <xdr:row>41</xdr:row>
      <xdr:rowOff>0</xdr:rowOff>
    </xdr:from>
    <xdr:to>
      <xdr:col>4</xdr:col>
      <xdr:colOff>190500</xdr:colOff>
      <xdr:row>41</xdr:row>
      <xdr:rowOff>142875</xdr:rowOff>
    </xdr:to>
    <xdr:pic>
      <xdr:nvPicPr>
        <xdr:cNvPr id="3" name="1 Imagen"/>
        <xdr:cNvPicPr preferRelativeResize="1">
          <a:picLocks noChangeAspect="1"/>
        </xdr:cNvPicPr>
      </xdr:nvPicPr>
      <xdr:blipFill>
        <a:blip r:embed="rId3"/>
        <a:stretch>
          <a:fillRect/>
        </a:stretch>
      </xdr:blipFill>
      <xdr:spPr>
        <a:xfrm>
          <a:off x="333375" y="8620125"/>
          <a:ext cx="2714625"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80</xdr:row>
      <xdr:rowOff>114300</xdr:rowOff>
    </xdr:from>
    <xdr:to>
      <xdr:col>4</xdr:col>
      <xdr:colOff>962025</xdr:colOff>
      <xdr:row>81</xdr:row>
      <xdr:rowOff>19050</xdr:rowOff>
    </xdr:to>
    <xdr:pic>
      <xdr:nvPicPr>
        <xdr:cNvPr id="1" name="12 Imagen"/>
        <xdr:cNvPicPr preferRelativeResize="1">
          <a:picLocks noChangeAspect="1"/>
        </xdr:cNvPicPr>
      </xdr:nvPicPr>
      <xdr:blipFill>
        <a:blip r:embed="rId1"/>
        <a:stretch>
          <a:fillRect/>
        </a:stretch>
      </xdr:blipFill>
      <xdr:spPr>
        <a:xfrm>
          <a:off x="4495800" y="8534400"/>
          <a:ext cx="3124200" cy="95250"/>
        </a:xfrm>
        <a:prstGeom prst="rect">
          <a:avLst/>
        </a:prstGeom>
        <a:noFill/>
        <a:ln w="9525" cmpd="sng">
          <a:noFill/>
        </a:ln>
      </xdr:spPr>
    </xdr:pic>
    <xdr:clientData/>
  </xdr:twoCellAnchor>
  <xdr:twoCellAnchor editAs="oneCell">
    <xdr:from>
      <xdr:col>1</xdr:col>
      <xdr:colOff>1600200</xdr:colOff>
      <xdr:row>72</xdr:row>
      <xdr:rowOff>76200</xdr:rowOff>
    </xdr:from>
    <xdr:to>
      <xdr:col>3</xdr:col>
      <xdr:colOff>942975</xdr:colOff>
      <xdr:row>72</xdr:row>
      <xdr:rowOff>190500</xdr:rowOff>
    </xdr:to>
    <xdr:pic>
      <xdr:nvPicPr>
        <xdr:cNvPr id="2" name="12 Imagen"/>
        <xdr:cNvPicPr preferRelativeResize="1">
          <a:picLocks noChangeAspect="1"/>
        </xdr:cNvPicPr>
      </xdr:nvPicPr>
      <xdr:blipFill>
        <a:blip r:embed="rId2"/>
        <a:stretch>
          <a:fillRect/>
        </a:stretch>
      </xdr:blipFill>
      <xdr:spPr>
        <a:xfrm>
          <a:off x="2362200" y="6972300"/>
          <a:ext cx="3638550" cy="114300"/>
        </a:xfrm>
        <a:prstGeom prst="rect">
          <a:avLst/>
        </a:prstGeom>
        <a:noFill/>
        <a:ln w="9525" cmpd="sng">
          <a:noFill/>
        </a:ln>
      </xdr:spPr>
    </xdr:pic>
    <xdr:clientData/>
  </xdr:twoCellAnchor>
  <xdr:twoCellAnchor editAs="oneCell">
    <xdr:from>
      <xdr:col>0</xdr:col>
      <xdr:colOff>0</xdr:colOff>
      <xdr:row>80</xdr:row>
      <xdr:rowOff>104775</xdr:rowOff>
    </xdr:from>
    <xdr:to>
      <xdr:col>1</xdr:col>
      <xdr:colOff>2390775</xdr:colOff>
      <xdr:row>80</xdr:row>
      <xdr:rowOff>190500</xdr:rowOff>
    </xdr:to>
    <xdr:pic>
      <xdr:nvPicPr>
        <xdr:cNvPr id="3" name="12 Imagen"/>
        <xdr:cNvPicPr preferRelativeResize="1">
          <a:picLocks noChangeAspect="1"/>
        </xdr:cNvPicPr>
      </xdr:nvPicPr>
      <xdr:blipFill>
        <a:blip r:embed="rId2"/>
        <a:stretch>
          <a:fillRect/>
        </a:stretch>
      </xdr:blipFill>
      <xdr:spPr>
        <a:xfrm>
          <a:off x="0" y="8524875"/>
          <a:ext cx="3152775" cy="85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1800225</xdr:colOff>
      <xdr:row>34</xdr:row>
      <xdr:rowOff>28575</xdr:rowOff>
    </xdr:from>
    <xdr:to>
      <xdr:col>4</xdr:col>
      <xdr:colOff>476250</xdr:colOff>
      <xdr:row>34</xdr:row>
      <xdr:rowOff>190500</xdr:rowOff>
    </xdr:to>
    <xdr:pic>
      <xdr:nvPicPr>
        <xdr:cNvPr id="1" name="4 Imagen"/>
        <xdr:cNvPicPr preferRelativeResize="1">
          <a:picLocks noChangeAspect="1"/>
        </xdr:cNvPicPr>
      </xdr:nvPicPr>
      <xdr:blipFill>
        <a:blip r:embed="rId1"/>
        <a:stretch>
          <a:fillRect/>
        </a:stretch>
      </xdr:blipFill>
      <xdr:spPr>
        <a:xfrm>
          <a:off x="2038350" y="7686675"/>
          <a:ext cx="3819525" cy="161925"/>
        </a:xfrm>
        <a:prstGeom prst="rect">
          <a:avLst/>
        </a:prstGeom>
        <a:noFill/>
        <a:ln w="9525" cmpd="sng">
          <a:noFill/>
        </a:ln>
      </xdr:spPr>
    </xdr:pic>
    <xdr:clientData/>
  </xdr:twoCellAnchor>
  <xdr:twoCellAnchor editAs="oneCell">
    <xdr:from>
      <xdr:col>1</xdr:col>
      <xdr:colOff>0</xdr:colOff>
      <xdr:row>38</xdr:row>
      <xdr:rowOff>95250</xdr:rowOff>
    </xdr:from>
    <xdr:to>
      <xdr:col>2</xdr:col>
      <xdr:colOff>161925</xdr:colOff>
      <xdr:row>38</xdr:row>
      <xdr:rowOff>190500</xdr:rowOff>
    </xdr:to>
    <xdr:pic>
      <xdr:nvPicPr>
        <xdr:cNvPr id="2" name="4 Imagen"/>
        <xdr:cNvPicPr preferRelativeResize="1">
          <a:picLocks noChangeAspect="1"/>
        </xdr:cNvPicPr>
      </xdr:nvPicPr>
      <xdr:blipFill>
        <a:blip r:embed="rId1"/>
        <a:stretch>
          <a:fillRect/>
        </a:stretch>
      </xdr:blipFill>
      <xdr:spPr>
        <a:xfrm>
          <a:off x="238125" y="8515350"/>
          <a:ext cx="2733675" cy="95250"/>
        </a:xfrm>
        <a:prstGeom prst="rect">
          <a:avLst/>
        </a:prstGeom>
        <a:noFill/>
        <a:ln w="9525" cmpd="sng">
          <a:noFill/>
        </a:ln>
      </xdr:spPr>
    </xdr:pic>
    <xdr:clientData/>
  </xdr:twoCellAnchor>
  <xdr:twoCellAnchor editAs="oneCell">
    <xdr:from>
      <xdr:col>3</xdr:col>
      <xdr:colOff>657225</xdr:colOff>
      <xdr:row>38</xdr:row>
      <xdr:rowOff>66675</xdr:rowOff>
    </xdr:from>
    <xdr:to>
      <xdr:col>5</xdr:col>
      <xdr:colOff>628650</xdr:colOff>
      <xdr:row>38</xdr:row>
      <xdr:rowOff>161925</xdr:rowOff>
    </xdr:to>
    <xdr:pic>
      <xdr:nvPicPr>
        <xdr:cNvPr id="3" name="4 Imagen"/>
        <xdr:cNvPicPr preferRelativeResize="1">
          <a:picLocks noChangeAspect="1"/>
        </xdr:cNvPicPr>
      </xdr:nvPicPr>
      <xdr:blipFill>
        <a:blip r:embed="rId1"/>
        <a:stretch>
          <a:fillRect/>
        </a:stretch>
      </xdr:blipFill>
      <xdr:spPr>
        <a:xfrm>
          <a:off x="4772025" y="8486775"/>
          <a:ext cx="2733675" cy="95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0</xdr:row>
      <xdr:rowOff>0</xdr:rowOff>
    </xdr:from>
    <xdr:to>
      <xdr:col>14</xdr:col>
      <xdr:colOff>1162050</xdr:colOff>
      <xdr:row>4</xdr:row>
      <xdr:rowOff>304800</xdr:rowOff>
    </xdr:to>
    <xdr:pic>
      <xdr:nvPicPr>
        <xdr:cNvPr id="1" name="Picture 1" descr="Macintosh SSD:Users:onapi:Desktop:TIMBRADO INSTITUCIONA a color con logo onapi.jpg"/>
        <xdr:cNvPicPr preferRelativeResize="1">
          <a:picLocks noChangeAspect="1"/>
        </xdr:cNvPicPr>
      </xdr:nvPicPr>
      <xdr:blipFill>
        <a:blip r:embed="rId1"/>
        <a:stretch>
          <a:fillRect/>
        </a:stretch>
      </xdr:blipFill>
      <xdr:spPr>
        <a:xfrm>
          <a:off x="2095500" y="0"/>
          <a:ext cx="4210050" cy="990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2647950</xdr:colOff>
      <xdr:row>212</xdr:row>
      <xdr:rowOff>95250</xdr:rowOff>
    </xdr:from>
    <xdr:ext cx="180975" cy="266700"/>
    <xdr:sp fLocksText="0">
      <xdr:nvSpPr>
        <xdr:cNvPr id="1" name="1 CuadroTexto"/>
        <xdr:cNvSpPr txBox="1">
          <a:spLocks noChangeArrowheads="1"/>
        </xdr:cNvSpPr>
      </xdr:nvSpPr>
      <xdr:spPr>
        <a:xfrm>
          <a:off x="3019425" y="375094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723900</xdr:colOff>
      <xdr:row>0</xdr:row>
      <xdr:rowOff>114300</xdr:rowOff>
    </xdr:from>
    <xdr:to>
      <xdr:col>8</xdr:col>
      <xdr:colOff>276225</xdr:colOff>
      <xdr:row>4</xdr:row>
      <xdr:rowOff>180975</xdr:rowOff>
    </xdr:to>
    <xdr:pic>
      <xdr:nvPicPr>
        <xdr:cNvPr id="1" name="Picture 1" descr="Macintosh SSD:Users:onapi:Desktop:TIMBRADO INSTITUCIONA a color con logo onapi.jpg"/>
        <xdr:cNvPicPr preferRelativeResize="1">
          <a:picLocks noChangeAspect="1"/>
        </xdr:cNvPicPr>
      </xdr:nvPicPr>
      <xdr:blipFill>
        <a:blip r:embed="rId1"/>
        <a:stretch>
          <a:fillRect/>
        </a:stretch>
      </xdr:blipFill>
      <xdr:spPr>
        <a:xfrm>
          <a:off x="1962150" y="114300"/>
          <a:ext cx="4210050"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3</xdr:row>
      <xdr:rowOff>0</xdr:rowOff>
    </xdr:to>
    <xdr:pic>
      <xdr:nvPicPr>
        <xdr:cNvPr id="1" name="Picture 1" descr="Macintosh SSD:Users:onapi:Desktop:TIMBRADO INSTITUCIONA a color con logo onapi.jpg"/>
        <xdr:cNvPicPr preferRelativeResize="1">
          <a:picLocks noChangeAspect="1"/>
        </xdr:cNvPicPr>
      </xdr:nvPicPr>
      <xdr:blipFill>
        <a:blip r:embed="rId1"/>
        <a:stretch>
          <a:fillRect/>
        </a:stretch>
      </xdr:blipFill>
      <xdr:spPr>
        <a:xfrm>
          <a:off x="0" y="0"/>
          <a:ext cx="2905125" cy="600075"/>
        </a:xfrm>
        <a:prstGeom prst="rect">
          <a:avLst/>
        </a:prstGeom>
        <a:noFill/>
        <a:ln w="9525" cmpd="sng">
          <a:noFill/>
        </a:ln>
      </xdr:spPr>
    </xdr:pic>
    <xdr:clientData/>
  </xdr:twoCellAnchor>
  <xdr:twoCellAnchor editAs="oneCell">
    <xdr:from>
      <xdr:col>3</xdr:col>
      <xdr:colOff>752475</xdr:colOff>
      <xdr:row>48</xdr:row>
      <xdr:rowOff>114300</xdr:rowOff>
    </xdr:from>
    <xdr:to>
      <xdr:col>5</xdr:col>
      <xdr:colOff>1019175</xdr:colOff>
      <xdr:row>49</xdr:row>
      <xdr:rowOff>57150</xdr:rowOff>
    </xdr:to>
    <xdr:pic>
      <xdr:nvPicPr>
        <xdr:cNvPr id="2" name="12 Imagen"/>
        <xdr:cNvPicPr preferRelativeResize="1">
          <a:picLocks noChangeAspect="1"/>
        </xdr:cNvPicPr>
      </xdr:nvPicPr>
      <xdr:blipFill>
        <a:blip r:embed="rId2"/>
        <a:stretch>
          <a:fillRect/>
        </a:stretch>
      </xdr:blipFill>
      <xdr:spPr>
        <a:xfrm>
          <a:off x="3657600" y="9810750"/>
          <a:ext cx="3810000" cy="133350"/>
        </a:xfrm>
        <a:prstGeom prst="rect">
          <a:avLst/>
        </a:prstGeom>
        <a:noFill/>
        <a:ln w="9525" cmpd="sng">
          <a:noFill/>
        </a:ln>
      </xdr:spPr>
    </xdr:pic>
    <xdr:clientData/>
  </xdr:twoCellAnchor>
  <xdr:twoCellAnchor editAs="oneCell">
    <xdr:from>
      <xdr:col>1</xdr:col>
      <xdr:colOff>66675</xdr:colOff>
      <xdr:row>55</xdr:row>
      <xdr:rowOff>104775</xdr:rowOff>
    </xdr:from>
    <xdr:to>
      <xdr:col>3</xdr:col>
      <xdr:colOff>971550</xdr:colOff>
      <xdr:row>56</xdr:row>
      <xdr:rowOff>47625</xdr:rowOff>
    </xdr:to>
    <xdr:pic>
      <xdr:nvPicPr>
        <xdr:cNvPr id="3" name="12 Imagen"/>
        <xdr:cNvPicPr preferRelativeResize="1">
          <a:picLocks noChangeAspect="1"/>
        </xdr:cNvPicPr>
      </xdr:nvPicPr>
      <xdr:blipFill>
        <a:blip r:embed="rId2"/>
        <a:stretch>
          <a:fillRect/>
        </a:stretch>
      </xdr:blipFill>
      <xdr:spPr>
        <a:xfrm>
          <a:off x="66675" y="11182350"/>
          <a:ext cx="3810000" cy="133350"/>
        </a:xfrm>
        <a:prstGeom prst="rect">
          <a:avLst/>
        </a:prstGeom>
        <a:noFill/>
        <a:ln w="9525" cmpd="sng">
          <a:noFill/>
        </a:ln>
      </xdr:spPr>
    </xdr:pic>
    <xdr:clientData/>
  </xdr:twoCellAnchor>
  <xdr:twoCellAnchor editAs="oneCell">
    <xdr:from>
      <xdr:col>3</xdr:col>
      <xdr:colOff>3429000</xdr:colOff>
      <xdr:row>55</xdr:row>
      <xdr:rowOff>142875</xdr:rowOff>
    </xdr:from>
    <xdr:to>
      <xdr:col>9</xdr:col>
      <xdr:colOff>1266825</xdr:colOff>
      <xdr:row>56</xdr:row>
      <xdr:rowOff>85725</xdr:rowOff>
    </xdr:to>
    <xdr:pic>
      <xdr:nvPicPr>
        <xdr:cNvPr id="4" name="12 Imagen"/>
        <xdr:cNvPicPr preferRelativeResize="1">
          <a:picLocks noChangeAspect="1"/>
        </xdr:cNvPicPr>
      </xdr:nvPicPr>
      <xdr:blipFill>
        <a:blip r:embed="rId2"/>
        <a:stretch>
          <a:fillRect/>
        </a:stretch>
      </xdr:blipFill>
      <xdr:spPr>
        <a:xfrm>
          <a:off x="6334125" y="11220450"/>
          <a:ext cx="38100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y.acosta\Desktop\Enc.%20Contabilidad%20YENNY%20ACOSTA\Informaci&#243;n%20Financiera%202019\Estados%20Financieros%20al%2030%20de%20Junio%20%20del%202019\ESTADOS%20FINANCIEROS%20INTERNOS%20%20AL%2030%20DE%20JUNIO%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stados%20Financieros%202020\Balanza%20de%20Comprobaci&#243;n%202020.csv"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y.acosta\AppData\Local\Microsoft\Windows\Temporary%20Internet%20Files\Content.Outlook\M8ITPAAZ\Balanza%20de%20Comprobaci&#243;n%20al%2031%20de%20Diciembre%20del%202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y.acosta\Desktop\Enc.%20Contabilidad%20YENNY%20ACOSTA\Informaci&#243;n%20Financiera%202020\Estados%20Financieros%20al%2031%20de%20Diciembre%20del%202020\FORMATO%20EEFF%20CIERRE%202020-ONAPI-REVISADO%20POR%20LA%20DIGECOG.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y.acosta\Desktop\Enc.%20Contabilidad%20YENNY%20ACOSTA\Informaci&#243;n%20Financiera%202020\Estados%20Financieros%20al%2030%20de%20Junio%20del%202020\FORMATO%20EEFF%20CIERRE%2030062020-ONAPI.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Yenny%20Acosta\Downloads\Comparativo%20Ejecuci&#243;n%20Presupuestari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GENERAL"/>
      <sheetName val="RESULTADOS"/>
      <sheetName val="CAMBIO PATRIMONIO"/>
      <sheetName val="Notas al Estado de Situación"/>
      <sheetName val="Hoja2"/>
      <sheetName val="Depreciación Acumulada"/>
      <sheetName val="Notas Estado de Resultados"/>
      <sheetName val="Label"/>
      <sheetName val="Nota Estado de Resultados Ing."/>
      <sheetName val="Hoja1"/>
      <sheetName val="Check List"/>
      <sheetName val="Hoja3"/>
      <sheetName val="Depreciación Cati -Pto. Plata"/>
    </sheetNames>
    <sheetDataSet>
      <sheetData sheetId="5">
        <row r="67">
          <cell r="H67" t="str">
            <v>ok</v>
          </cell>
        </row>
        <row r="68">
          <cell r="D68">
            <v>4995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za de Comprobación 2020"/>
    </sheetNames>
    <sheetDataSet>
      <sheetData sheetId="0">
        <row r="156">
          <cell r="I156">
            <v>-13645284.2</v>
          </cell>
        </row>
        <row r="223">
          <cell r="I223">
            <v>-246294.21</v>
          </cell>
        </row>
        <row r="258">
          <cell r="I258">
            <v>-76050011.35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ort2"/>
    </sheetNames>
    <sheetDataSet>
      <sheetData sheetId="0">
        <row r="207">
          <cell r="I207">
            <v>-78445037.67999999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F - Situación Financiera"/>
      <sheetName val="Flujo de Efectivo"/>
      <sheetName val=" ERF-Rendimiento Financiero"/>
      <sheetName val="ECANP-Cambio Patrimonio"/>
    </sheetNames>
    <sheetDataSet>
      <sheetData sheetId="0">
        <row r="1">
          <cell r="A1" t="str">
            <v>OFICINA NACIONAL DE LA PROPIEDAD INDUSTRIAL(ONAPI)</v>
          </cell>
        </row>
      </sheetData>
      <sheetData sheetId="2">
        <row r="27">
          <cell r="E27">
            <v>52128331.360000074</v>
          </cell>
          <cell r="G27">
            <v>30252545.27000004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F - Situación Financiera"/>
      <sheetName val=" ERF-Rendimiento Financiero"/>
      <sheetName val="ECANP-Cambio Patrimonio"/>
    </sheetNames>
    <sheetDataSet>
      <sheetData sheetId="0">
        <row r="1">
          <cell r="A1" t="str">
            <v>OFICINA NACIONAL DE LA PROPIEDAD INDUSTRIAL(ONAPI)</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F - Situación Financiera"/>
      <sheetName val=" ERF-Rendimiento Financiero"/>
      <sheetName val="ECANP-Cambio Patrimonio"/>
      <sheetName val="EFE-Flujo de Efectivo"/>
      <sheetName val="Estado Comparativo"/>
    </sheetNames>
    <sheetDataSet>
      <sheetData sheetId="0">
        <row r="1">
          <cell r="A1" t="str">
            <v>OFICINA NACIONAL DE LA PROPIEDAD INDUSTRIAL(ONAPI)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mp;%5e%25$#@*" TargetMode="External" /><Relationship Id="rId2" Type="http://schemas.openxmlformats.org/officeDocument/2006/relationships/hyperlink" Target="mailto:&amp;%5e%25$#@*" TargetMode="External" /><Relationship Id="rId3" Type="http://schemas.openxmlformats.org/officeDocument/2006/relationships/hyperlink" Target="mailto:&amp;%5e%25$#@*"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amp;%5e%25$#@*" TargetMode="External" /><Relationship Id="rId2" Type="http://schemas.openxmlformats.org/officeDocument/2006/relationships/hyperlink" Target="mailto:&amp;%5e%25$#@*" TargetMode="External" /><Relationship Id="rId3" Type="http://schemas.openxmlformats.org/officeDocument/2006/relationships/hyperlink" Target="mailto:&amp;%5e%25$#@*" TargetMode="External" /><Relationship Id="rId4" Type="http://schemas.openxmlformats.org/officeDocument/2006/relationships/hyperlink" Target="mailto:&amp;%5e%25$#@*" TargetMode="Externa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75"/>
  <sheetViews>
    <sheetView tabSelected="1" workbookViewId="0" topLeftCell="A1">
      <selection activeCell="I67" sqref="I67"/>
    </sheetView>
  </sheetViews>
  <sheetFormatPr defaultColWidth="11.421875" defaultRowHeight="15"/>
  <cols>
    <col min="1" max="1" width="6.7109375" style="259" customWidth="1"/>
    <col min="2" max="2" width="51.57421875" style="259" customWidth="1"/>
    <col min="3" max="3" width="1.7109375" style="259" customWidth="1"/>
    <col min="4" max="4" width="18.421875" style="259" customWidth="1"/>
    <col min="5" max="5" width="14.8515625" style="259" customWidth="1"/>
    <col min="6" max="6" width="0.85546875" style="259" hidden="1" customWidth="1"/>
    <col min="7" max="7" width="0.13671875" style="259" customWidth="1"/>
    <col min="8" max="8" width="3.7109375" style="259" customWidth="1"/>
    <col min="9" max="9" width="87.421875" style="259" customWidth="1"/>
    <col min="10" max="10" width="15.28125" style="259" hidden="1" customWidth="1"/>
    <col min="11" max="11" width="3.7109375" style="259" customWidth="1"/>
    <col min="12" max="14" width="11.421875" style="259" customWidth="1"/>
    <col min="15" max="16384" width="11.421875" style="260" customWidth="1"/>
  </cols>
  <sheetData>
    <row r="1" spans="1:7" ht="15.75">
      <c r="A1" s="485" t="s">
        <v>735</v>
      </c>
      <c r="B1" s="485"/>
      <c r="C1" s="485"/>
      <c r="D1" s="485"/>
      <c r="E1" s="485"/>
      <c r="F1" s="485"/>
      <c r="G1" s="485"/>
    </row>
    <row r="2" spans="1:7" ht="15.75">
      <c r="A2" s="485" t="s">
        <v>736</v>
      </c>
      <c r="B2" s="485"/>
      <c r="C2" s="485"/>
      <c r="D2" s="485"/>
      <c r="E2" s="485"/>
      <c r="F2" s="485"/>
      <c r="G2" s="485"/>
    </row>
    <row r="3" spans="1:7" ht="15.75">
      <c r="A3" s="485" t="s">
        <v>774</v>
      </c>
      <c r="B3" s="485"/>
      <c r="C3" s="485"/>
      <c r="D3" s="485"/>
      <c r="E3" s="485"/>
      <c r="F3" s="485"/>
      <c r="G3" s="485"/>
    </row>
    <row r="4" spans="1:7" ht="15.75">
      <c r="A4" s="485" t="s">
        <v>737</v>
      </c>
      <c r="B4" s="485"/>
      <c r="C4" s="485"/>
      <c r="D4" s="485"/>
      <c r="E4" s="485"/>
      <c r="F4" s="485"/>
      <c r="G4" s="485"/>
    </row>
    <row r="5" spans="1:7" ht="15">
      <c r="A5" s="389"/>
      <c r="B5" s="390"/>
      <c r="C5" s="390"/>
      <c r="D5" s="390"/>
      <c r="E5" s="389"/>
      <c r="F5" s="389"/>
      <c r="G5" s="389"/>
    </row>
    <row r="6" spans="1:7" ht="15">
      <c r="A6" s="389"/>
      <c r="B6" s="389"/>
      <c r="C6" s="389"/>
      <c r="D6" s="391">
        <v>2021</v>
      </c>
      <c r="E6" s="391">
        <v>2020</v>
      </c>
      <c r="F6" s="392"/>
      <c r="G6" s="391">
        <v>2019</v>
      </c>
    </row>
    <row r="7" spans="1:14" ht="15">
      <c r="A7" s="393" t="s">
        <v>738</v>
      </c>
      <c r="B7" s="394"/>
      <c r="C7" s="394"/>
      <c r="D7" s="394"/>
      <c r="E7" s="395"/>
      <c r="F7" s="396"/>
      <c r="G7" s="395"/>
      <c r="H7" s="264"/>
      <c r="I7" s="264"/>
      <c r="J7" s="264"/>
      <c r="K7" s="264"/>
      <c r="L7" s="264"/>
      <c r="M7" s="264"/>
      <c r="N7" s="264"/>
    </row>
    <row r="8" spans="1:14" ht="15">
      <c r="A8" s="393" t="s">
        <v>739</v>
      </c>
      <c r="B8" s="394"/>
      <c r="C8" s="394"/>
      <c r="D8" s="394"/>
      <c r="E8" s="396"/>
      <c r="F8" s="396"/>
      <c r="G8" s="396"/>
      <c r="H8" s="264"/>
      <c r="I8" s="264"/>
      <c r="J8" s="264"/>
      <c r="K8" s="264"/>
      <c r="L8" s="264"/>
      <c r="M8" s="264"/>
      <c r="N8" s="264"/>
    </row>
    <row r="9" spans="1:14" ht="15">
      <c r="A9" s="275"/>
      <c r="B9" s="275" t="s">
        <v>740</v>
      </c>
      <c r="C9" s="275"/>
      <c r="D9" s="397">
        <f>+'Notas Estado de Situación'!O62</f>
        <v>293326330.75000006</v>
      </c>
      <c r="E9" s="397">
        <v>206290774.21</v>
      </c>
      <c r="F9" s="398"/>
      <c r="G9" s="397">
        <v>166164338.88</v>
      </c>
      <c r="H9" s="264"/>
      <c r="I9" s="264"/>
      <c r="J9" s="268">
        <f aca="true" t="shared" si="0" ref="J9:J16">+E9+G9</f>
        <v>372455113.09000003</v>
      </c>
      <c r="K9" s="264"/>
      <c r="L9" s="269"/>
      <c r="M9" s="264"/>
      <c r="N9" s="264"/>
    </row>
    <row r="10" spans="1:14" s="5" customFormat="1" ht="15" customHeight="1" hidden="1">
      <c r="A10" s="274"/>
      <c r="B10" s="275" t="s">
        <v>741</v>
      </c>
      <c r="C10" s="275"/>
      <c r="D10" s="275"/>
      <c r="E10" s="278">
        <v>0</v>
      </c>
      <c r="F10" s="399"/>
      <c r="G10" s="278">
        <v>0</v>
      </c>
      <c r="H10" s="265"/>
      <c r="I10" s="265"/>
      <c r="J10" s="270">
        <f t="shared" si="0"/>
        <v>0</v>
      </c>
      <c r="K10" s="265"/>
      <c r="L10" s="271"/>
      <c r="M10" s="265"/>
      <c r="N10" s="265"/>
    </row>
    <row r="11" spans="1:14" s="5" customFormat="1" ht="15" customHeight="1" hidden="1">
      <c r="A11" s="274"/>
      <c r="B11" s="275" t="s">
        <v>742</v>
      </c>
      <c r="C11" s="275"/>
      <c r="D11" s="275"/>
      <c r="E11" s="278">
        <v>0</v>
      </c>
      <c r="F11" s="399"/>
      <c r="G11" s="278">
        <v>0</v>
      </c>
      <c r="H11" s="265"/>
      <c r="I11" s="265"/>
      <c r="J11" s="270">
        <f t="shared" si="0"/>
        <v>0</v>
      </c>
      <c r="K11" s="265"/>
      <c r="L11" s="271"/>
      <c r="M11" s="265"/>
      <c r="N11" s="265"/>
    </row>
    <row r="12" spans="1:14" s="5" customFormat="1" ht="15">
      <c r="A12" s="274"/>
      <c r="B12" s="275" t="s">
        <v>743</v>
      </c>
      <c r="C12" s="275"/>
      <c r="D12" s="397">
        <f>+'Notas Estado de Situación'!O100</f>
        <v>2585902.88</v>
      </c>
      <c r="E12" s="278">
        <v>2595686.97</v>
      </c>
      <c r="F12" s="399"/>
      <c r="G12" s="278">
        <v>2832033.81</v>
      </c>
      <c r="H12" s="265"/>
      <c r="I12" s="274"/>
      <c r="J12" s="270">
        <f t="shared" si="0"/>
        <v>5427720.78</v>
      </c>
      <c r="K12" s="265"/>
      <c r="L12" s="271"/>
      <c r="M12" s="265"/>
      <c r="N12" s="265"/>
    </row>
    <row r="13" spans="1:14" ht="15">
      <c r="A13" s="275"/>
      <c r="B13" s="275" t="s">
        <v>744</v>
      </c>
      <c r="C13" s="275"/>
      <c r="D13" s="397">
        <f>+'Notas Estado de Situación'!O137</f>
        <v>5087648.260000001</v>
      </c>
      <c r="E13" s="278">
        <v>5305865.5</v>
      </c>
      <c r="F13" s="399"/>
      <c r="G13" s="278">
        <v>4433464.07</v>
      </c>
      <c r="H13" s="264"/>
      <c r="I13" s="275"/>
      <c r="J13" s="268">
        <f t="shared" si="0"/>
        <v>9739329.57</v>
      </c>
      <c r="K13" s="264"/>
      <c r="L13" s="269"/>
      <c r="M13" s="264"/>
      <c r="N13" s="264"/>
    </row>
    <row r="14" spans="1:14" s="5" customFormat="1" ht="15">
      <c r="A14" s="274"/>
      <c r="B14" s="275" t="s">
        <v>745</v>
      </c>
      <c r="C14" s="275"/>
      <c r="D14" s="405">
        <f>+'Notas Estado de Situación'!O149</f>
        <v>2340996.24</v>
      </c>
      <c r="E14" s="406">
        <v>1468138.54</v>
      </c>
      <c r="F14" s="399"/>
      <c r="G14" s="278">
        <v>1495154.42</v>
      </c>
      <c r="H14" s="272"/>
      <c r="I14" s="274"/>
      <c r="J14" s="270">
        <f t="shared" si="0"/>
        <v>2963292.96</v>
      </c>
      <c r="K14" s="265"/>
      <c r="L14" s="271"/>
      <c r="M14" s="265"/>
      <c r="N14" s="265"/>
    </row>
    <row r="15" spans="1:14" s="5" customFormat="1" ht="15" customHeight="1" hidden="1">
      <c r="A15" s="274"/>
      <c r="B15" s="275" t="s">
        <v>746</v>
      </c>
      <c r="C15" s="275"/>
      <c r="D15" s="397"/>
      <c r="E15" s="278">
        <v>0</v>
      </c>
      <c r="F15" s="399"/>
      <c r="G15" s="278">
        <v>0</v>
      </c>
      <c r="H15" s="265"/>
      <c r="I15" s="274"/>
      <c r="J15" s="270">
        <f t="shared" si="0"/>
        <v>0</v>
      </c>
      <c r="K15" s="265"/>
      <c r="L15" s="271"/>
      <c r="M15" s="265"/>
      <c r="N15" s="265"/>
    </row>
    <row r="16" spans="1:14" ht="15">
      <c r="A16" s="393" t="s">
        <v>900</v>
      </c>
      <c r="B16" s="275"/>
      <c r="C16" s="275"/>
      <c r="D16" s="400">
        <f>SUM(D9:D14)</f>
        <v>303340878.13000005</v>
      </c>
      <c r="E16" s="400">
        <f>SUM(E8:E15)</f>
        <v>215660465.22</v>
      </c>
      <c r="F16" s="398"/>
      <c r="G16" s="400">
        <f>SUM(G8:G15)</f>
        <v>174924991.17999998</v>
      </c>
      <c r="H16" s="264"/>
      <c r="I16" s="275"/>
      <c r="J16" s="268">
        <f t="shared" si="0"/>
        <v>390585456.4</v>
      </c>
      <c r="K16" s="264"/>
      <c r="L16" s="269"/>
      <c r="M16" s="264"/>
      <c r="N16" s="264"/>
    </row>
    <row r="17" spans="1:14" ht="15">
      <c r="A17" s="393"/>
      <c r="B17" s="275"/>
      <c r="C17" s="275"/>
      <c r="D17" s="397"/>
      <c r="E17" s="400"/>
      <c r="F17" s="398"/>
      <c r="G17" s="400"/>
      <c r="H17" s="264"/>
      <c r="I17" s="275"/>
      <c r="J17" s="268"/>
      <c r="K17" s="264"/>
      <c r="L17" s="269"/>
      <c r="M17" s="264"/>
      <c r="N17" s="264"/>
    </row>
    <row r="18" spans="1:14" ht="15">
      <c r="A18" s="393" t="s">
        <v>902</v>
      </c>
      <c r="B18" s="275"/>
      <c r="C18" s="275"/>
      <c r="D18" s="397"/>
      <c r="E18" s="397"/>
      <c r="F18" s="397"/>
      <c r="G18" s="397"/>
      <c r="H18" s="264"/>
      <c r="I18" s="275"/>
      <c r="J18" s="264"/>
      <c r="K18" s="264"/>
      <c r="L18" s="269"/>
      <c r="M18" s="264"/>
      <c r="N18" s="264"/>
    </row>
    <row r="19" spans="1:14" s="5" customFormat="1" ht="15" customHeight="1" hidden="1">
      <c r="A19" s="274"/>
      <c r="B19" s="275" t="s">
        <v>747</v>
      </c>
      <c r="C19" s="275"/>
      <c r="D19" s="397"/>
      <c r="E19" s="278">
        <v>0</v>
      </c>
      <c r="F19" s="399"/>
      <c r="G19" s="278">
        <v>0</v>
      </c>
      <c r="H19" s="265"/>
      <c r="I19" s="274"/>
      <c r="J19" s="270">
        <f aca="true" t="shared" si="1" ref="J19:J26">+E19+G19</f>
        <v>0</v>
      </c>
      <c r="K19" s="265"/>
      <c r="L19" s="271"/>
      <c r="M19" s="265"/>
      <c r="N19" s="265"/>
    </row>
    <row r="20" spans="1:14" s="5" customFormat="1" ht="15" customHeight="1" hidden="1">
      <c r="A20" s="274"/>
      <c r="B20" s="275" t="s">
        <v>748</v>
      </c>
      <c r="C20" s="275"/>
      <c r="D20" s="397"/>
      <c r="E20" s="278">
        <v>0</v>
      </c>
      <c r="F20" s="399"/>
      <c r="G20" s="278">
        <v>0</v>
      </c>
      <c r="H20" s="265"/>
      <c r="I20" s="274"/>
      <c r="J20" s="270">
        <f t="shared" si="1"/>
        <v>0</v>
      </c>
      <c r="K20" s="265"/>
      <c r="L20" s="271"/>
      <c r="M20" s="265"/>
      <c r="N20" s="265"/>
    </row>
    <row r="21" spans="1:14" s="5" customFormat="1" ht="15" customHeight="1" hidden="1">
      <c r="A21" s="274"/>
      <c r="B21" s="275" t="s">
        <v>749</v>
      </c>
      <c r="C21" s="275"/>
      <c r="D21" s="397"/>
      <c r="E21" s="278">
        <v>0</v>
      </c>
      <c r="F21" s="399"/>
      <c r="G21" s="278">
        <v>0</v>
      </c>
      <c r="H21" s="265"/>
      <c r="I21" s="274"/>
      <c r="J21" s="270">
        <f t="shared" si="1"/>
        <v>0</v>
      </c>
      <c r="K21" s="265"/>
      <c r="L21" s="271"/>
      <c r="M21" s="265"/>
      <c r="N21" s="265"/>
    </row>
    <row r="22" spans="1:14" s="5" customFormat="1" ht="15" customHeight="1" hidden="1">
      <c r="A22" s="274"/>
      <c r="B22" s="275" t="s">
        <v>750</v>
      </c>
      <c r="C22" s="275"/>
      <c r="D22" s="397"/>
      <c r="E22" s="278">
        <v>0</v>
      </c>
      <c r="F22" s="399"/>
      <c r="G22" s="278">
        <v>0</v>
      </c>
      <c r="H22" s="265"/>
      <c r="I22" s="274"/>
      <c r="J22" s="270">
        <f t="shared" si="1"/>
        <v>0</v>
      </c>
      <c r="K22" s="265"/>
      <c r="L22" s="271"/>
      <c r="M22" s="265"/>
      <c r="N22" s="265"/>
    </row>
    <row r="23" spans="1:14" ht="15">
      <c r="A23" s="275"/>
      <c r="B23" s="275" t="s">
        <v>899</v>
      </c>
      <c r="C23" s="275"/>
      <c r="D23" s="397">
        <f>+'Notas Estado de Situación'!O410+'Notas Estado de Situación'!O165+'Notas Estado de Situación'!O426+'Notas Estado de Situación'!O445+12579325.97</f>
        <v>132914829.19999999</v>
      </c>
      <c r="E23" s="278">
        <f>156655200.1-17413311.55</f>
        <v>139241888.54999998</v>
      </c>
      <c r="F23" s="399"/>
      <c r="G23" s="278">
        <v>140880471.7</v>
      </c>
      <c r="H23" s="264"/>
      <c r="I23" s="275"/>
      <c r="J23" s="268">
        <f t="shared" si="1"/>
        <v>280122360.25</v>
      </c>
      <c r="K23" s="264"/>
      <c r="L23" s="269"/>
      <c r="M23" s="264"/>
      <c r="N23" s="264"/>
    </row>
    <row r="24" spans="1:14" ht="15">
      <c r="A24" s="275"/>
      <c r="B24" s="275" t="s">
        <v>751</v>
      </c>
      <c r="C24" s="275"/>
      <c r="D24" s="405">
        <f>+'Notas Estado de Situación'!O474</f>
        <v>10599341.14</v>
      </c>
      <c r="E24" s="406">
        <v>17413311.55</v>
      </c>
      <c r="F24" s="399"/>
      <c r="G24" s="278">
        <v>19291263.83</v>
      </c>
      <c r="H24" s="264"/>
      <c r="I24" s="276"/>
      <c r="J24" s="268">
        <f t="shared" si="1"/>
        <v>36704575.379999995</v>
      </c>
      <c r="K24" s="264"/>
      <c r="L24" s="269"/>
      <c r="M24" s="264"/>
      <c r="N24" s="264"/>
    </row>
    <row r="25" spans="1:14" s="5" customFormat="1" ht="15" customHeight="1" hidden="1">
      <c r="A25" s="274"/>
      <c r="B25" s="275" t="s">
        <v>752</v>
      </c>
      <c r="C25" s="275"/>
      <c r="D25" s="397"/>
      <c r="E25" s="397">
        <v>0</v>
      </c>
      <c r="F25" s="398"/>
      <c r="G25" s="397">
        <v>0</v>
      </c>
      <c r="H25" s="272"/>
      <c r="I25" s="277"/>
      <c r="J25" s="270">
        <f t="shared" si="1"/>
        <v>0</v>
      </c>
      <c r="K25" s="273"/>
      <c r="L25" s="271"/>
      <c r="M25" s="265"/>
      <c r="N25" s="265"/>
    </row>
    <row r="26" spans="1:14" ht="15">
      <c r="A26" s="393" t="s">
        <v>901</v>
      </c>
      <c r="B26" s="275"/>
      <c r="C26" s="275"/>
      <c r="D26" s="407">
        <f>SUM(D23:D25)</f>
        <v>143514170.33999997</v>
      </c>
      <c r="E26" s="407">
        <f>SUM(E19:E25)</f>
        <v>156655200.1</v>
      </c>
      <c r="F26" s="398"/>
      <c r="G26" s="400">
        <f>SUM(G19:G25)</f>
        <v>160171735.52999997</v>
      </c>
      <c r="H26" s="264"/>
      <c r="I26" s="275"/>
      <c r="J26" s="268">
        <f t="shared" si="1"/>
        <v>316826935.63</v>
      </c>
      <c r="K26" s="264"/>
      <c r="L26" s="269"/>
      <c r="M26" s="264"/>
      <c r="N26" s="264"/>
    </row>
    <row r="27" spans="1:14" ht="15">
      <c r="A27" s="393"/>
      <c r="B27" s="275"/>
      <c r="C27" s="275"/>
      <c r="D27" s="397"/>
      <c r="E27" s="400"/>
      <c r="F27" s="398"/>
      <c r="G27" s="400"/>
      <c r="H27" s="264"/>
      <c r="I27" s="275"/>
      <c r="J27" s="268"/>
      <c r="K27" s="264"/>
      <c r="L27" s="269"/>
      <c r="M27" s="264"/>
      <c r="N27" s="264"/>
    </row>
    <row r="28" spans="1:14" ht="15.75" thickBot="1">
      <c r="A28" s="393" t="s">
        <v>753</v>
      </c>
      <c r="B28" s="275"/>
      <c r="C28" s="275"/>
      <c r="D28" s="404">
        <f>+D16+D26</f>
        <v>446855048.47</v>
      </c>
      <c r="E28" s="404">
        <f>SUM(E26,E16)</f>
        <v>372315665.32</v>
      </c>
      <c r="F28" s="401"/>
      <c r="G28" s="400">
        <f>SUM(G26,G16)</f>
        <v>335096726.7099999</v>
      </c>
      <c r="H28" s="264"/>
      <c r="I28" s="275"/>
      <c r="J28" s="268">
        <f>+E28+G28</f>
        <v>707412392.03</v>
      </c>
      <c r="K28" s="264"/>
      <c r="L28" s="269"/>
      <c r="M28" s="264"/>
      <c r="N28" s="264"/>
    </row>
    <row r="29" spans="1:14" ht="15.75" thickTop="1">
      <c r="A29" s="275"/>
      <c r="B29" s="275" t="s">
        <v>616</v>
      </c>
      <c r="C29" s="275"/>
      <c r="D29" s="397"/>
      <c r="E29" s="397"/>
      <c r="F29" s="397"/>
      <c r="G29" s="397"/>
      <c r="H29" s="264"/>
      <c r="I29" s="275"/>
      <c r="J29" s="264"/>
      <c r="K29" s="264"/>
      <c r="L29" s="269"/>
      <c r="M29" s="264"/>
      <c r="N29" s="264"/>
    </row>
    <row r="30" spans="1:14" ht="15">
      <c r="A30" s="393" t="s">
        <v>754</v>
      </c>
      <c r="B30" s="275"/>
      <c r="C30" s="275"/>
      <c r="D30" s="397"/>
      <c r="E30" s="397"/>
      <c r="F30" s="397"/>
      <c r="G30" s="397"/>
      <c r="H30" s="264"/>
      <c r="I30" s="275"/>
      <c r="J30" s="264"/>
      <c r="K30" s="264"/>
      <c r="L30" s="269"/>
      <c r="M30" s="264"/>
      <c r="N30" s="264"/>
    </row>
    <row r="31" spans="1:14" ht="15">
      <c r="A31" s="393" t="s">
        <v>903</v>
      </c>
      <c r="B31" s="275"/>
      <c r="C31" s="275"/>
      <c r="D31" s="397"/>
      <c r="E31" s="398"/>
      <c r="F31" s="398"/>
      <c r="G31" s="398"/>
      <c r="H31" s="264"/>
      <c r="I31" s="275"/>
      <c r="J31" s="264"/>
      <c r="K31" s="264"/>
      <c r="L31" s="269"/>
      <c r="M31" s="264"/>
      <c r="N31" s="264"/>
    </row>
    <row r="32" spans="1:14" s="5" customFormat="1" ht="15" customHeight="1" hidden="1">
      <c r="A32" s="274"/>
      <c r="B32" s="275" t="s">
        <v>755</v>
      </c>
      <c r="C32" s="275"/>
      <c r="D32" s="397"/>
      <c r="E32" s="278">
        <v>0</v>
      </c>
      <c r="F32" s="402"/>
      <c r="G32" s="278">
        <v>0</v>
      </c>
      <c r="H32" s="265"/>
      <c r="I32" s="274"/>
      <c r="J32" s="270">
        <f aca="true" t="shared" si="2" ref="J32:J41">+E32+G32</f>
        <v>0</v>
      </c>
      <c r="K32" s="265"/>
      <c r="L32" s="271"/>
      <c r="M32" s="265"/>
      <c r="N32" s="265"/>
    </row>
    <row r="33" spans="1:14" ht="15">
      <c r="A33" s="275"/>
      <c r="B33" s="275" t="s">
        <v>756</v>
      </c>
      <c r="C33" s="275"/>
      <c r="D33" s="397">
        <f>+'Notas Estado de Situación'!O491</f>
        <v>8111355.89</v>
      </c>
      <c r="E33" s="278">
        <v>4560839.52</v>
      </c>
      <c r="F33" s="402"/>
      <c r="G33" s="278">
        <f>4363148.71+9462055.34</f>
        <v>13825204.05</v>
      </c>
      <c r="H33" s="264"/>
      <c r="I33" s="278"/>
      <c r="J33" s="268">
        <f t="shared" si="2"/>
        <v>18386043.57</v>
      </c>
      <c r="K33" s="264"/>
      <c r="L33" s="269"/>
      <c r="M33" s="264"/>
      <c r="N33" s="264"/>
    </row>
    <row r="34" spans="1:14" s="5" customFormat="1" ht="15" customHeight="1" hidden="1">
      <c r="A34" s="274"/>
      <c r="B34" s="275" t="s">
        <v>757</v>
      </c>
      <c r="C34" s="275"/>
      <c r="D34" s="397"/>
      <c r="E34" s="278">
        <v>0</v>
      </c>
      <c r="F34" s="399"/>
      <c r="G34" s="278">
        <v>0</v>
      </c>
      <c r="H34" s="265"/>
      <c r="I34" s="274"/>
      <c r="J34" s="270">
        <f t="shared" si="2"/>
        <v>0</v>
      </c>
      <c r="K34" s="265"/>
      <c r="L34" s="271"/>
      <c r="M34" s="265"/>
      <c r="N34" s="265"/>
    </row>
    <row r="35" spans="1:14" s="5" customFormat="1" ht="15" customHeight="1" hidden="1">
      <c r="A35" s="274"/>
      <c r="B35" s="275" t="s">
        <v>758</v>
      </c>
      <c r="C35" s="275"/>
      <c r="D35" s="397"/>
      <c r="E35" s="278">
        <v>0</v>
      </c>
      <c r="F35" s="399"/>
      <c r="G35" s="278">
        <v>0</v>
      </c>
      <c r="H35" s="265"/>
      <c r="I35" s="274"/>
      <c r="J35" s="270">
        <f t="shared" si="2"/>
        <v>0</v>
      </c>
      <c r="K35" s="265"/>
      <c r="L35" s="271"/>
      <c r="M35" s="265"/>
      <c r="N35" s="265"/>
    </row>
    <row r="36" spans="1:14" s="5" customFormat="1" ht="15">
      <c r="A36" s="274"/>
      <c r="B36" s="275" t="s">
        <v>759</v>
      </c>
      <c r="C36" s="275"/>
      <c r="D36" s="397">
        <f>+'Notas Estado de Situación'!O635</f>
        <v>2132628.51</v>
      </c>
      <c r="E36" s="278">
        <v>1541158.98</v>
      </c>
      <c r="F36" s="399"/>
      <c r="G36" s="278">
        <f>1464223.87+14576438.64</f>
        <v>16040662.510000002</v>
      </c>
      <c r="H36" s="265"/>
      <c r="I36" s="274"/>
      <c r="J36" s="270">
        <f t="shared" si="2"/>
        <v>17581821.490000002</v>
      </c>
      <c r="K36" s="265"/>
      <c r="L36" s="271"/>
      <c r="M36" s="265"/>
      <c r="N36" s="265"/>
    </row>
    <row r="37" spans="1:14" s="5" customFormat="1" ht="15" customHeight="1" hidden="1">
      <c r="A37" s="274"/>
      <c r="B37" s="275" t="s">
        <v>760</v>
      </c>
      <c r="C37" s="275"/>
      <c r="D37" s="397"/>
      <c r="E37" s="278">
        <v>0</v>
      </c>
      <c r="F37" s="399"/>
      <c r="G37" s="278">
        <v>0</v>
      </c>
      <c r="H37" s="265"/>
      <c r="I37" s="274"/>
      <c r="J37" s="270">
        <f t="shared" si="2"/>
        <v>0</v>
      </c>
      <c r="K37" s="265"/>
      <c r="L37" s="271"/>
      <c r="M37" s="265"/>
      <c r="N37" s="265"/>
    </row>
    <row r="38" spans="1:14" s="5" customFormat="1" ht="15" customHeight="1" hidden="1">
      <c r="A38" s="274"/>
      <c r="B38" s="275" t="s">
        <v>761</v>
      </c>
      <c r="C38" s="275"/>
      <c r="D38" s="397"/>
      <c r="E38" s="278">
        <v>0</v>
      </c>
      <c r="F38" s="399"/>
      <c r="G38" s="278">
        <v>0</v>
      </c>
      <c r="H38" s="265"/>
      <c r="I38" s="274"/>
      <c r="J38" s="270">
        <f t="shared" si="2"/>
        <v>0</v>
      </c>
      <c r="K38" s="265"/>
      <c r="L38" s="271"/>
      <c r="M38" s="265"/>
      <c r="N38" s="265"/>
    </row>
    <row r="39" spans="1:14" s="5" customFormat="1" ht="15" customHeight="1" hidden="1">
      <c r="A39" s="274"/>
      <c r="B39" s="275" t="s">
        <v>762</v>
      </c>
      <c r="C39" s="275"/>
      <c r="D39" s="397"/>
      <c r="E39" s="278">
        <v>0</v>
      </c>
      <c r="F39" s="399"/>
      <c r="G39" s="278">
        <v>0</v>
      </c>
      <c r="H39" s="265"/>
      <c r="I39" s="274"/>
      <c r="J39" s="270">
        <f t="shared" si="2"/>
        <v>0</v>
      </c>
      <c r="K39" s="265"/>
      <c r="L39" s="271"/>
      <c r="M39" s="265"/>
      <c r="N39" s="265"/>
    </row>
    <row r="40" spans="1:14" s="5" customFormat="1" ht="15">
      <c r="A40" s="274"/>
      <c r="B40" s="275" t="s">
        <v>763</v>
      </c>
      <c r="C40" s="275"/>
      <c r="D40" s="405">
        <f>+'Notas Estado de Situación'!O676</f>
        <v>1035707.9800000001</v>
      </c>
      <c r="E40" s="406">
        <v>58571.7</v>
      </c>
      <c r="F40" s="399"/>
      <c r="G40" s="278">
        <v>834356.13</v>
      </c>
      <c r="H40" s="265"/>
      <c r="I40" s="274"/>
      <c r="J40" s="270">
        <f t="shared" si="2"/>
        <v>892927.83</v>
      </c>
      <c r="K40" s="265"/>
      <c r="L40" s="271"/>
      <c r="M40" s="265"/>
      <c r="N40" s="265"/>
    </row>
    <row r="41" spans="1:14" ht="15">
      <c r="A41" s="393" t="s">
        <v>904</v>
      </c>
      <c r="B41" s="275"/>
      <c r="C41" s="275"/>
      <c r="D41" s="400">
        <f>SUM(D33:D40)</f>
        <v>11279692.379999999</v>
      </c>
      <c r="E41" s="400">
        <f>SUM(E32:E40)</f>
        <v>6160570.2</v>
      </c>
      <c r="F41" s="398"/>
      <c r="G41" s="400">
        <f>SUM(G32:G40)</f>
        <v>30700222.69</v>
      </c>
      <c r="H41" s="264"/>
      <c r="I41" s="275"/>
      <c r="J41" s="268">
        <f t="shared" si="2"/>
        <v>36860792.89</v>
      </c>
      <c r="K41" s="264"/>
      <c r="L41" s="269"/>
      <c r="M41" s="264"/>
      <c r="N41" s="264"/>
    </row>
    <row r="42" spans="1:14" ht="15">
      <c r="A42" s="393"/>
      <c r="B42" s="275"/>
      <c r="C42" s="275"/>
      <c r="D42" s="397"/>
      <c r="E42" s="400"/>
      <c r="F42" s="398"/>
      <c r="G42" s="400"/>
      <c r="H42" s="264"/>
      <c r="I42" s="275"/>
      <c r="J42" s="268"/>
      <c r="K42" s="264"/>
      <c r="L42" s="269"/>
      <c r="M42" s="264"/>
      <c r="N42" s="264"/>
    </row>
    <row r="43" spans="1:14" s="5" customFormat="1" ht="15">
      <c r="A43" s="403" t="s">
        <v>905</v>
      </c>
      <c r="B43" s="274"/>
      <c r="C43" s="274"/>
      <c r="D43" s="397"/>
      <c r="E43" s="402"/>
      <c r="F43" s="402"/>
      <c r="G43" s="402"/>
      <c r="H43" s="265"/>
      <c r="I43" s="274"/>
      <c r="J43" s="270">
        <f aca="true" t="shared" si="3" ref="J43:J50">+E43+G43</f>
        <v>0</v>
      </c>
      <c r="K43" s="265"/>
      <c r="L43" s="271"/>
      <c r="M43" s="265"/>
      <c r="N43" s="265"/>
    </row>
    <row r="44" spans="1:14" s="5" customFormat="1" ht="15" customHeight="1" hidden="1">
      <c r="A44" s="274"/>
      <c r="B44" s="275" t="s">
        <v>764</v>
      </c>
      <c r="C44" s="275"/>
      <c r="D44" s="397"/>
      <c r="E44" s="278">
        <v>0</v>
      </c>
      <c r="F44" s="399"/>
      <c r="G44" s="278">
        <v>0</v>
      </c>
      <c r="H44" s="265"/>
      <c r="I44" s="274"/>
      <c r="J44" s="270">
        <f t="shared" si="3"/>
        <v>0</v>
      </c>
      <c r="K44" s="265"/>
      <c r="L44" s="271"/>
      <c r="M44" s="265"/>
      <c r="N44" s="265"/>
    </row>
    <row r="45" spans="1:14" s="5" customFormat="1" ht="15" customHeight="1" hidden="1">
      <c r="A45" s="274"/>
      <c r="B45" s="275" t="s">
        <v>765</v>
      </c>
      <c r="C45" s="275"/>
      <c r="D45" s="397"/>
      <c r="E45" s="278">
        <v>0</v>
      </c>
      <c r="F45" s="399"/>
      <c r="G45" s="278">
        <v>0</v>
      </c>
      <c r="H45" s="265"/>
      <c r="I45" s="274"/>
      <c r="J45" s="270">
        <f t="shared" si="3"/>
        <v>0</v>
      </c>
      <c r="K45" s="265"/>
      <c r="L45" s="271"/>
      <c r="M45" s="265"/>
      <c r="N45" s="265"/>
    </row>
    <row r="46" spans="1:14" s="5" customFormat="1" ht="15" customHeight="1" hidden="1">
      <c r="A46" s="274"/>
      <c r="B46" s="275" t="s">
        <v>766</v>
      </c>
      <c r="C46" s="275"/>
      <c r="D46" s="397"/>
      <c r="E46" s="278">
        <v>0</v>
      </c>
      <c r="F46" s="399"/>
      <c r="G46" s="278">
        <v>0</v>
      </c>
      <c r="H46" s="265"/>
      <c r="I46" s="274"/>
      <c r="J46" s="270">
        <f t="shared" si="3"/>
        <v>0</v>
      </c>
      <c r="K46" s="265"/>
      <c r="L46" s="271"/>
      <c r="M46" s="265"/>
      <c r="N46" s="265"/>
    </row>
    <row r="47" spans="1:14" s="5" customFormat="1" ht="15" customHeight="1" hidden="1">
      <c r="A47" s="274"/>
      <c r="B47" s="275" t="s">
        <v>767</v>
      </c>
      <c r="C47" s="275"/>
      <c r="D47" s="397"/>
      <c r="E47" s="278">
        <v>0</v>
      </c>
      <c r="F47" s="399"/>
      <c r="G47" s="278">
        <v>0</v>
      </c>
      <c r="H47" s="265"/>
      <c r="I47" s="274"/>
      <c r="J47" s="270">
        <f t="shared" si="3"/>
        <v>0</v>
      </c>
      <c r="K47" s="265"/>
      <c r="L47" s="271"/>
      <c r="M47" s="265"/>
      <c r="N47" s="265"/>
    </row>
    <row r="48" spans="1:14" s="5" customFormat="1" ht="15" customHeight="1" hidden="1">
      <c r="A48" s="274"/>
      <c r="B48" s="275" t="s">
        <v>768</v>
      </c>
      <c r="C48" s="275"/>
      <c r="D48" s="397"/>
      <c r="E48" s="278">
        <v>0</v>
      </c>
      <c r="F48" s="399"/>
      <c r="G48" s="278">
        <v>0</v>
      </c>
      <c r="H48" s="265"/>
      <c r="I48" s="274"/>
      <c r="J48" s="270">
        <f t="shared" si="3"/>
        <v>0</v>
      </c>
      <c r="K48" s="265"/>
      <c r="L48" s="271"/>
      <c r="M48" s="265"/>
      <c r="N48" s="265"/>
    </row>
    <row r="49" spans="1:14" s="5" customFormat="1" ht="15">
      <c r="A49" s="403" t="s">
        <v>906</v>
      </c>
      <c r="B49" s="274"/>
      <c r="C49" s="274"/>
      <c r="D49" s="405">
        <v>0</v>
      </c>
      <c r="E49" s="405">
        <v>0</v>
      </c>
      <c r="F49" s="399"/>
      <c r="G49" s="397">
        <v>0</v>
      </c>
      <c r="H49" s="265"/>
      <c r="I49" s="274"/>
      <c r="J49" s="270">
        <f t="shared" si="3"/>
        <v>0</v>
      </c>
      <c r="K49" s="265"/>
      <c r="L49" s="271"/>
      <c r="M49" s="265"/>
      <c r="N49" s="265"/>
    </row>
    <row r="50" spans="1:14" ht="15">
      <c r="A50" s="393" t="s">
        <v>907</v>
      </c>
      <c r="B50" s="275"/>
      <c r="C50" s="275"/>
      <c r="D50" s="400">
        <f>+D41+D49</f>
        <v>11279692.379999999</v>
      </c>
      <c r="E50" s="400">
        <f>SUM(E41,E49)</f>
        <v>6160570.2</v>
      </c>
      <c r="F50" s="401"/>
      <c r="G50" s="400">
        <f>SUM(G41,G49)</f>
        <v>30700222.69</v>
      </c>
      <c r="H50" s="264"/>
      <c r="I50" s="275"/>
      <c r="J50" s="268">
        <f t="shared" si="3"/>
        <v>36860792.89</v>
      </c>
      <c r="K50" s="264"/>
      <c r="L50" s="269"/>
      <c r="M50" s="264"/>
      <c r="N50" s="264"/>
    </row>
    <row r="51" spans="1:14" ht="15">
      <c r="A51" s="393"/>
      <c r="B51" s="275"/>
      <c r="C51" s="275"/>
      <c r="D51" s="397"/>
      <c r="E51" s="397"/>
      <c r="F51" s="397"/>
      <c r="G51" s="397"/>
      <c r="H51" s="264"/>
      <c r="I51" s="275"/>
      <c r="J51" s="264"/>
      <c r="K51" s="264"/>
      <c r="L51" s="269"/>
      <c r="M51" s="264"/>
      <c r="N51" s="264"/>
    </row>
    <row r="52" spans="1:14" ht="15">
      <c r="A52" s="393" t="s">
        <v>769</v>
      </c>
      <c r="B52" s="275"/>
      <c r="C52" s="275"/>
      <c r="D52" s="397"/>
      <c r="E52" s="397"/>
      <c r="F52" s="397"/>
      <c r="G52" s="397"/>
      <c r="H52" s="264"/>
      <c r="I52" s="275"/>
      <c r="J52" s="264"/>
      <c r="K52" s="264"/>
      <c r="L52" s="269"/>
      <c r="M52" s="264"/>
      <c r="N52" s="264"/>
    </row>
    <row r="53" spans="1:14" s="5" customFormat="1" ht="15">
      <c r="A53" s="403"/>
      <c r="B53" s="275" t="s">
        <v>770</v>
      </c>
      <c r="C53" s="275"/>
      <c r="D53" s="397">
        <v>113148475.73</v>
      </c>
      <c r="E53" s="397">
        <v>114633129.66</v>
      </c>
      <c r="F53" s="399"/>
      <c r="G53" s="397">
        <v>105002870.12</v>
      </c>
      <c r="H53" s="265"/>
      <c r="I53" s="274"/>
      <c r="J53" s="270">
        <f>+E53+G53</f>
        <v>219635999.78</v>
      </c>
      <c r="K53" s="265"/>
      <c r="L53" s="271"/>
      <c r="M53" s="265"/>
      <c r="N53" s="265"/>
    </row>
    <row r="54" spans="1:14" s="5" customFormat="1" ht="15" customHeight="1" hidden="1">
      <c r="A54" s="274"/>
      <c r="B54" s="275" t="s">
        <v>771</v>
      </c>
      <c r="C54" s="275"/>
      <c r="D54" s="397"/>
      <c r="E54" s="278">
        <v>0</v>
      </c>
      <c r="F54" s="399"/>
      <c r="G54" s="278">
        <v>0</v>
      </c>
      <c r="H54" s="265"/>
      <c r="I54" s="265"/>
      <c r="J54" s="270">
        <f>+E54+G54</f>
        <v>0</v>
      </c>
      <c r="K54" s="265"/>
      <c r="L54" s="271"/>
      <c r="M54" s="265"/>
      <c r="N54" s="265"/>
    </row>
    <row r="55" spans="1:14" ht="15">
      <c r="A55" s="275"/>
      <c r="B55" s="275" t="s">
        <v>772</v>
      </c>
      <c r="C55" s="275"/>
      <c r="D55" s="397">
        <f>+'Estado Rendimiento Financiero'!E29</f>
        <v>70904915.10000008</v>
      </c>
      <c r="E55" s="397">
        <f>+'[4] ERF-Rendimiento Financiero'!E27</f>
        <v>52128331.360000074</v>
      </c>
      <c r="F55" s="398"/>
      <c r="G55" s="397">
        <f>+'[4] ERF-Rendimiento Financiero'!G27</f>
        <v>30252545.27000004</v>
      </c>
      <c r="H55" s="264"/>
      <c r="I55" s="264"/>
      <c r="J55" s="268">
        <f>+E55+G55</f>
        <v>82380876.63000011</v>
      </c>
      <c r="K55" s="264"/>
      <c r="L55" s="269"/>
      <c r="M55" s="264"/>
      <c r="N55" s="264"/>
    </row>
    <row r="56" spans="1:14" ht="15">
      <c r="A56" s="275"/>
      <c r="B56" s="275" t="s">
        <v>773</v>
      </c>
      <c r="C56" s="275"/>
      <c r="D56" s="405">
        <v>251521965.26</v>
      </c>
      <c r="E56" s="405">
        <v>199393633.9</v>
      </c>
      <c r="F56" s="398"/>
      <c r="G56" s="397">
        <v>169141088.63</v>
      </c>
      <c r="H56" s="264"/>
      <c r="I56" s="264"/>
      <c r="J56" s="268">
        <f>+E56+G56</f>
        <v>368534722.53</v>
      </c>
      <c r="K56" s="264"/>
      <c r="L56" s="269"/>
      <c r="M56" s="264"/>
      <c r="N56" s="264"/>
    </row>
    <row r="57" spans="1:14" ht="15">
      <c r="A57" s="393" t="s">
        <v>908</v>
      </c>
      <c r="B57" s="275"/>
      <c r="C57" s="275"/>
      <c r="D57" s="400">
        <f>SUM(D53:D56)</f>
        <v>435575356.0900001</v>
      </c>
      <c r="E57" s="400">
        <f>SUM(E52:E56)</f>
        <v>366155094.9200001</v>
      </c>
      <c r="F57" s="401"/>
      <c r="G57" s="400">
        <f>SUM(G52:G56)</f>
        <v>304396504.02000004</v>
      </c>
      <c r="H57" s="264"/>
      <c r="I57" s="268"/>
      <c r="J57" s="268">
        <f>+E57+G57</f>
        <v>670551598.94</v>
      </c>
      <c r="K57" s="264"/>
      <c r="L57" s="269"/>
      <c r="M57" s="264"/>
      <c r="N57" s="264"/>
    </row>
    <row r="58" spans="1:14" ht="15">
      <c r="A58" s="393"/>
      <c r="B58" s="275"/>
      <c r="C58" s="275"/>
      <c r="D58" s="397"/>
      <c r="E58" s="396"/>
      <c r="F58" s="396"/>
      <c r="G58" s="396"/>
      <c r="H58" s="264"/>
      <c r="I58" s="264"/>
      <c r="J58" s="264"/>
      <c r="K58" s="264"/>
      <c r="L58" s="264"/>
      <c r="M58" s="264"/>
      <c r="N58" s="264"/>
    </row>
    <row r="59" spans="1:14" ht="15.75" thickBot="1">
      <c r="A59" s="393" t="s">
        <v>909</v>
      </c>
      <c r="B59" s="275"/>
      <c r="C59" s="275"/>
      <c r="D59" s="404">
        <f>+D50+D57</f>
        <v>446855048.4700001</v>
      </c>
      <c r="E59" s="404">
        <f>+E50+E57</f>
        <v>372315665.12000006</v>
      </c>
      <c r="F59" s="396"/>
      <c r="G59" s="400">
        <f>+G50+G57</f>
        <v>335096726.71000004</v>
      </c>
      <c r="H59" s="264"/>
      <c r="I59" s="264"/>
      <c r="J59" s="264"/>
      <c r="K59" s="264"/>
      <c r="L59" s="264"/>
      <c r="M59" s="264"/>
      <c r="N59" s="264"/>
    </row>
    <row r="60" spans="1:14" ht="15.75" thickTop="1">
      <c r="A60" s="393"/>
      <c r="B60" s="275"/>
      <c r="C60" s="275"/>
      <c r="D60" s="397"/>
      <c r="E60" s="400"/>
      <c r="F60" s="396"/>
      <c r="G60" s="400"/>
      <c r="H60" s="264"/>
      <c r="I60" s="264"/>
      <c r="J60" s="264"/>
      <c r="K60" s="264"/>
      <c r="L60" s="264"/>
      <c r="M60" s="264"/>
      <c r="N60" s="264"/>
    </row>
    <row r="61" spans="1:14" ht="15">
      <c r="A61" s="275"/>
      <c r="B61" s="275"/>
      <c r="C61" s="275"/>
      <c r="D61" s="275"/>
      <c r="E61" s="275"/>
      <c r="F61" s="275"/>
      <c r="G61" s="397"/>
      <c r="H61" s="264"/>
      <c r="I61" s="268"/>
      <c r="J61" s="268"/>
      <c r="K61" s="264"/>
      <c r="L61" s="264"/>
      <c r="M61" s="264"/>
      <c r="N61" s="264"/>
    </row>
    <row r="62" spans="1:14" ht="15">
      <c r="A62" t="s">
        <v>916</v>
      </c>
      <c r="B62" s="275"/>
      <c r="C62" s="275"/>
      <c r="D62" s="275"/>
      <c r="E62" s="275"/>
      <c r="F62" s="275"/>
      <c r="G62" s="397"/>
      <c r="H62" s="264"/>
      <c r="I62" s="268"/>
      <c r="J62" s="268"/>
      <c r="K62" s="264"/>
      <c r="L62" s="264"/>
      <c r="M62" s="264"/>
      <c r="N62" s="264"/>
    </row>
    <row r="63" spans="1:14" ht="15.75" hidden="1" thickBot="1">
      <c r="A63" s="486"/>
      <c r="B63" s="487"/>
      <c r="C63" s="487"/>
      <c r="D63" s="487"/>
      <c r="E63" s="487"/>
      <c r="F63" s="487"/>
      <c r="G63" s="488"/>
      <c r="H63" s="264"/>
      <c r="I63" s="264"/>
      <c r="J63" s="264"/>
      <c r="K63" s="264"/>
      <c r="L63" s="264"/>
      <c r="M63" s="264"/>
      <c r="N63" s="264"/>
    </row>
    <row r="64" spans="2:4" ht="15">
      <c r="B64" s="266"/>
      <c r="C64" s="266"/>
      <c r="D64" s="266"/>
    </row>
    <row r="65" spans="6:7" ht="15">
      <c r="F65" s="267"/>
      <c r="G65" s="267"/>
    </row>
    <row r="67" spans="4:14" ht="15">
      <c r="D67" s="267"/>
      <c r="E67" s="267"/>
      <c r="F67" s="267"/>
      <c r="N67" s="260"/>
    </row>
    <row r="68" ht="15">
      <c r="N68" s="260"/>
    </row>
    <row r="69" spans="2:14" ht="15">
      <c r="B69" s="259" t="s">
        <v>912</v>
      </c>
      <c r="D69" s="267"/>
      <c r="F69" s="267"/>
      <c r="N69" s="260"/>
    </row>
    <row r="70" spans="4:14" ht="15">
      <c r="D70" s="267"/>
      <c r="F70" s="267"/>
      <c r="N70" s="260"/>
    </row>
    <row r="71" spans="4:14" ht="15">
      <c r="D71" s="267"/>
      <c r="F71" s="267"/>
      <c r="N71" s="260"/>
    </row>
    <row r="72" ht="15">
      <c r="N72" s="260"/>
    </row>
    <row r="73" spans="4:14" ht="15">
      <c r="D73" s="267"/>
      <c r="F73" s="261"/>
      <c r="N73" s="260"/>
    </row>
    <row r="74" ht="15">
      <c r="N74" s="260"/>
    </row>
    <row r="75" spans="1:14" ht="18.75">
      <c r="A75" s="82" t="s">
        <v>911</v>
      </c>
      <c r="B75" s="279"/>
      <c r="D75" s="280" t="s">
        <v>910</v>
      </c>
      <c r="N75" s="260"/>
    </row>
  </sheetData>
  <sheetProtection/>
  <mergeCells count="5">
    <mergeCell ref="A1:G1"/>
    <mergeCell ref="A2:G2"/>
    <mergeCell ref="A3:G3"/>
    <mergeCell ref="A4:G4"/>
    <mergeCell ref="A63:G63"/>
  </mergeCells>
  <printOptions/>
  <pageMargins left="1.5" right="0.7" top="0.75" bottom="0.75" header="0.3" footer="0.3"/>
  <pageSetup horizontalDpi="600" verticalDpi="600" orientation="portrait" scale="75" r:id="rId2"/>
  <drawing r:id="rId1"/>
</worksheet>
</file>

<file path=xl/worksheets/sheet10.xml><?xml version="1.0" encoding="utf-8"?>
<worksheet xmlns="http://schemas.openxmlformats.org/spreadsheetml/2006/main" xmlns:r="http://schemas.openxmlformats.org/officeDocument/2006/relationships">
  <dimension ref="A1:N29"/>
  <sheetViews>
    <sheetView zoomScalePageLayoutView="0" workbookViewId="0" topLeftCell="A1">
      <selection activeCell="C25" sqref="C25"/>
    </sheetView>
  </sheetViews>
  <sheetFormatPr defaultColWidth="11.421875" defaultRowHeight="15"/>
  <cols>
    <col min="14" max="14" width="19.00390625" style="0" customWidth="1"/>
  </cols>
  <sheetData>
    <row r="1" spans="1:5" ht="18.75">
      <c r="A1" s="33" t="s">
        <v>640</v>
      </c>
      <c r="B1" s="32"/>
      <c r="C1" s="32"/>
      <c r="D1" s="32"/>
      <c r="E1" s="32"/>
    </row>
    <row r="2" spans="1:5" ht="18.75">
      <c r="A2" s="33" t="s">
        <v>641</v>
      </c>
      <c r="B2" s="32"/>
      <c r="C2" s="32"/>
      <c r="D2" s="32"/>
      <c r="E2" s="32"/>
    </row>
    <row r="3" spans="1:5" ht="18.75">
      <c r="A3" s="33" t="s">
        <v>642</v>
      </c>
      <c r="B3" s="46"/>
      <c r="C3" s="33" t="s">
        <v>701</v>
      </c>
      <c r="D3" s="32"/>
      <c r="E3" s="32"/>
    </row>
    <row r="7" ht="15.75">
      <c r="A7" s="34" t="s">
        <v>646</v>
      </c>
    </row>
    <row r="8" ht="15.75">
      <c r="A8" s="34"/>
    </row>
    <row r="9" ht="15.75">
      <c r="A9" s="34"/>
    </row>
    <row r="10" spans="1:13" ht="18.75">
      <c r="A10" s="177" t="s">
        <v>644</v>
      </c>
      <c r="B10" s="189"/>
      <c r="C10" s="190"/>
      <c r="D10" s="190"/>
      <c r="E10" s="190"/>
      <c r="F10" s="191"/>
      <c r="G10" s="191"/>
      <c r="H10" s="188"/>
      <c r="I10" s="188"/>
      <c r="J10" s="188"/>
      <c r="K10" s="188"/>
      <c r="L10" s="188"/>
      <c r="M10" s="188"/>
    </row>
    <row r="11" spans="1:14" ht="18.75">
      <c r="A11" s="177"/>
      <c r="B11" s="192"/>
      <c r="C11" s="192"/>
      <c r="D11" s="192"/>
      <c r="E11" s="192"/>
      <c r="F11" s="192"/>
      <c r="G11" s="192"/>
      <c r="H11" s="192"/>
      <c r="I11" s="192"/>
      <c r="J11" s="192"/>
      <c r="K11" s="192"/>
      <c r="L11" s="192"/>
      <c r="M11" s="192"/>
      <c r="N11" s="3"/>
    </row>
    <row r="12" spans="1:14" ht="15.75">
      <c r="A12" s="182" t="s">
        <v>706</v>
      </c>
      <c r="B12" s="182"/>
      <c r="C12" s="182"/>
      <c r="D12" s="182"/>
      <c r="E12" s="182"/>
      <c r="F12" s="182"/>
      <c r="G12" s="182"/>
      <c r="H12" s="182"/>
      <c r="I12" s="182"/>
      <c r="J12" s="182"/>
      <c r="K12" s="182"/>
      <c r="L12" s="182"/>
      <c r="M12" s="182"/>
      <c r="N12" s="182"/>
    </row>
    <row r="13" spans="1:14" ht="15.75">
      <c r="A13" s="182" t="s">
        <v>708</v>
      </c>
      <c r="B13" s="182"/>
      <c r="C13" s="182"/>
      <c r="D13" s="182"/>
      <c r="E13" s="182"/>
      <c r="F13" s="182"/>
      <c r="G13" s="182"/>
      <c r="H13" s="182"/>
      <c r="I13" s="182"/>
      <c r="J13" s="182"/>
      <c r="K13" s="182"/>
      <c r="L13" s="182"/>
      <c r="M13" s="182"/>
      <c r="N13" s="182"/>
    </row>
    <row r="14" ht="15.75">
      <c r="A14" s="34"/>
    </row>
    <row r="15" ht="15.75">
      <c r="A15" s="34" t="s">
        <v>645</v>
      </c>
    </row>
    <row r="16" ht="15.75">
      <c r="A16" s="34"/>
    </row>
    <row r="17" ht="18.75">
      <c r="A17" s="177" t="s">
        <v>643</v>
      </c>
    </row>
    <row r="18" ht="18.75">
      <c r="A18" s="177"/>
    </row>
    <row r="19" spans="1:14" s="183" customFormat="1" ht="16.5">
      <c r="A19" s="178" t="s">
        <v>702</v>
      </c>
      <c r="B19" s="179"/>
      <c r="C19" s="180"/>
      <c r="D19" s="180"/>
      <c r="E19" s="180"/>
      <c r="F19" s="181"/>
      <c r="G19" s="181"/>
      <c r="H19" s="181"/>
      <c r="I19" s="181"/>
      <c r="J19" s="181"/>
      <c r="K19" s="181"/>
      <c r="L19" s="181"/>
      <c r="M19" s="181"/>
      <c r="N19" s="182"/>
    </row>
    <row r="20" spans="1:14" s="183" customFormat="1" ht="16.5">
      <c r="A20" s="194" t="s">
        <v>707</v>
      </c>
      <c r="B20" s="178"/>
      <c r="C20" s="180"/>
      <c r="D20" s="180"/>
      <c r="E20" s="180"/>
      <c r="F20" s="181"/>
      <c r="G20" s="181"/>
      <c r="H20" s="181"/>
      <c r="I20" s="181"/>
      <c r="J20" s="181"/>
      <c r="K20" s="181"/>
      <c r="L20" s="181"/>
      <c r="M20" s="181"/>
      <c r="N20" s="182"/>
    </row>
    <row r="21" spans="1:13" s="183" customFormat="1" ht="16.5">
      <c r="A21" s="194"/>
      <c r="B21" s="184"/>
      <c r="C21" s="185"/>
      <c r="D21" s="185"/>
      <c r="E21" s="185"/>
      <c r="F21" s="186"/>
      <c r="G21" s="186"/>
      <c r="H21" s="187"/>
      <c r="I21" s="187"/>
      <c r="J21" s="187"/>
      <c r="K21" s="187"/>
      <c r="L21" s="187"/>
      <c r="M21" s="187"/>
    </row>
    <row r="22" spans="1:13" ht="16.5">
      <c r="A22" s="194" t="s">
        <v>647</v>
      </c>
      <c r="B22" s="184"/>
      <c r="C22" s="185"/>
      <c r="D22" s="185"/>
      <c r="E22" s="185"/>
      <c r="F22" s="186"/>
      <c r="G22" s="186"/>
      <c r="H22" s="187"/>
      <c r="I22" s="187"/>
      <c r="J22" s="187"/>
      <c r="K22" s="187"/>
      <c r="L22" s="187"/>
      <c r="M22" s="188"/>
    </row>
    <row r="23" spans="1:14" ht="15.75">
      <c r="A23" s="34" t="s">
        <v>648</v>
      </c>
      <c r="B23" s="193"/>
      <c r="C23" s="193"/>
      <c r="D23" s="193"/>
      <c r="E23" s="193"/>
      <c r="F23" s="193"/>
      <c r="G23" s="193"/>
      <c r="H23" s="193"/>
      <c r="I23" s="193"/>
      <c r="J23" s="193"/>
      <c r="K23" s="193"/>
      <c r="L23" s="193"/>
      <c r="M23" s="193"/>
      <c r="N23" s="193"/>
    </row>
    <row r="24" spans="1:14" ht="15.75">
      <c r="A24" s="34"/>
      <c r="B24" s="193"/>
      <c r="C24" s="193"/>
      <c r="D24" s="193"/>
      <c r="E24" s="193"/>
      <c r="F24" s="193"/>
      <c r="G24" s="193"/>
      <c r="H24" s="193"/>
      <c r="I24" s="193"/>
      <c r="J24" s="193"/>
      <c r="K24" s="193"/>
      <c r="L24" s="193"/>
      <c r="M24" s="193"/>
      <c r="N24" s="193"/>
    </row>
    <row r="25" ht="18.75">
      <c r="A25" s="177" t="s">
        <v>529</v>
      </c>
    </row>
    <row r="27" ht="15.75">
      <c r="A27" s="182" t="s">
        <v>897</v>
      </c>
    </row>
    <row r="28" ht="15.75">
      <c r="A28" s="182" t="s">
        <v>734</v>
      </c>
    </row>
    <row r="29" ht="15.75">
      <c r="A29" s="182" t="s">
        <v>703</v>
      </c>
    </row>
  </sheetData>
  <sheetProtection/>
  <printOptions/>
  <pageMargins left="0.7086614173228347" right="0.7086614173228347" top="0.7480314960629921" bottom="0.7480314960629921" header="0.31496062992125984" footer="0.31496062992125984"/>
  <pageSetup horizontalDpi="600" verticalDpi="600" orientation="landscape" scale="55" r:id="rId1"/>
  <colBreaks count="1" manualBreakCount="1">
    <brk id="16" max="29" man="1"/>
  </colBreaks>
</worksheet>
</file>

<file path=xl/worksheets/sheet11.xml><?xml version="1.0" encoding="utf-8"?>
<worksheet xmlns="http://schemas.openxmlformats.org/spreadsheetml/2006/main" xmlns:r="http://schemas.openxmlformats.org/officeDocument/2006/relationships">
  <dimension ref="A1:R58"/>
  <sheetViews>
    <sheetView zoomScalePageLayoutView="0" workbookViewId="0" topLeftCell="B1">
      <selection activeCell="B1" sqref="B1"/>
    </sheetView>
  </sheetViews>
  <sheetFormatPr defaultColWidth="11.421875" defaultRowHeight="15"/>
  <cols>
    <col min="1" max="1" width="17.421875" style="5" hidden="1" customWidth="1"/>
    <col min="2" max="2" width="21.421875" style="5" bestFit="1" customWidth="1"/>
    <col min="3" max="3" width="22.140625" style="5" bestFit="1" customWidth="1"/>
    <col min="4" max="4" width="53.140625" style="5" customWidth="1"/>
    <col min="5" max="5" width="38.00390625" style="5" hidden="1" customWidth="1"/>
    <col min="6" max="6" width="36.421875" style="5" customWidth="1"/>
    <col min="7" max="7" width="28.57421875" style="5" hidden="1" customWidth="1"/>
    <col min="8" max="8" width="24.00390625" style="5" hidden="1" customWidth="1"/>
    <col min="9" max="9" width="22.140625" style="5" hidden="1" customWidth="1"/>
    <col min="10" max="10" width="26.57421875" style="5" customWidth="1"/>
    <col min="11" max="11" width="0" style="5" hidden="1" customWidth="1"/>
    <col min="12" max="16384" width="11.421875" style="5" customWidth="1"/>
  </cols>
  <sheetData>
    <row r="1" ht="15.75">
      <c r="D1" s="463" t="s">
        <v>963</v>
      </c>
    </row>
    <row r="2" ht="15.75">
      <c r="D2" s="463" t="s">
        <v>964</v>
      </c>
    </row>
    <row r="3" ht="15.75">
      <c r="D3" s="463"/>
    </row>
    <row r="4" spans="1:4" ht="26.25">
      <c r="A4" s="464"/>
      <c r="D4" s="463"/>
    </row>
    <row r="5" spans="1:11" ht="15">
      <c r="A5" s="365"/>
      <c r="B5" s="365" t="s">
        <v>965</v>
      </c>
      <c r="C5" s="365" t="s">
        <v>966</v>
      </c>
      <c r="D5" s="365" t="s">
        <v>967</v>
      </c>
      <c r="E5" s="365" t="s">
        <v>968</v>
      </c>
      <c r="F5" s="465" t="s">
        <v>969</v>
      </c>
      <c r="G5" s="465" t="s">
        <v>970</v>
      </c>
      <c r="H5" s="465" t="s">
        <v>971</v>
      </c>
      <c r="I5" s="465" t="s">
        <v>972</v>
      </c>
      <c r="J5" s="465" t="s">
        <v>973</v>
      </c>
      <c r="K5" s="466"/>
    </row>
    <row r="6" spans="1:11" ht="30">
      <c r="A6" s="362"/>
      <c r="B6" s="470">
        <v>42298</v>
      </c>
      <c r="C6" s="362" t="s">
        <v>978</v>
      </c>
      <c r="D6" s="468" t="s">
        <v>979</v>
      </c>
      <c r="E6" s="362" t="s">
        <v>980</v>
      </c>
      <c r="F6" s="469">
        <v>217362.39000000013</v>
      </c>
      <c r="G6" s="470">
        <v>42298</v>
      </c>
      <c r="H6" s="469"/>
      <c r="I6" s="469"/>
      <c r="J6" s="471" t="s">
        <v>981</v>
      </c>
      <c r="K6" s="362"/>
    </row>
    <row r="7" spans="1:18" ht="15">
      <c r="A7" s="362"/>
      <c r="B7" s="467">
        <v>43608</v>
      </c>
      <c r="C7" s="362" t="s">
        <v>983</v>
      </c>
      <c r="D7" s="468" t="s">
        <v>984</v>
      </c>
      <c r="E7" s="362" t="s">
        <v>985</v>
      </c>
      <c r="F7" s="469">
        <v>63546.4</v>
      </c>
      <c r="G7" s="474">
        <v>43608</v>
      </c>
      <c r="H7" s="469"/>
      <c r="I7" s="469"/>
      <c r="J7" s="469"/>
      <c r="K7" s="469"/>
      <c r="L7" s="473"/>
      <c r="M7" s="473"/>
      <c r="N7" s="473"/>
      <c r="O7" s="473"/>
      <c r="P7" s="473"/>
      <c r="Q7" s="473"/>
      <c r="R7" s="473"/>
    </row>
    <row r="8" spans="1:11" ht="30">
      <c r="A8" s="362"/>
      <c r="B8" s="467">
        <v>43766</v>
      </c>
      <c r="C8" s="362" t="s">
        <v>974</v>
      </c>
      <c r="D8" s="468" t="s">
        <v>975</v>
      </c>
      <c r="E8" s="362" t="s">
        <v>976</v>
      </c>
      <c r="F8" s="469">
        <v>3525.6</v>
      </c>
      <c r="G8" s="470">
        <v>42460</v>
      </c>
      <c r="H8" s="469"/>
      <c r="I8" s="469"/>
      <c r="J8" s="471" t="s">
        <v>977</v>
      </c>
      <c r="K8" s="362"/>
    </row>
    <row r="9" spans="1:11" ht="15">
      <c r="A9" s="362"/>
      <c r="B9" s="467">
        <v>44475</v>
      </c>
      <c r="C9" s="362" t="s">
        <v>987</v>
      </c>
      <c r="D9" s="362" t="s">
        <v>1028</v>
      </c>
      <c r="E9" s="362"/>
      <c r="F9" s="363">
        <v>22035</v>
      </c>
      <c r="G9" s="362"/>
      <c r="H9" s="363"/>
      <c r="I9" s="362"/>
      <c r="J9" s="362"/>
      <c r="K9" s="9"/>
    </row>
    <row r="10" spans="1:10" ht="15">
      <c r="A10" s="362"/>
      <c r="B10" s="467">
        <v>44475</v>
      </c>
      <c r="C10" s="362" t="s">
        <v>988</v>
      </c>
      <c r="D10" s="362" t="s">
        <v>1028</v>
      </c>
      <c r="E10" s="362"/>
      <c r="F10" s="363">
        <v>37290</v>
      </c>
      <c r="G10" s="362"/>
      <c r="H10" s="363"/>
      <c r="I10" s="362"/>
      <c r="J10" s="362"/>
    </row>
    <row r="11" spans="1:10" ht="15">
      <c r="A11" s="362"/>
      <c r="B11" s="467">
        <v>44489</v>
      </c>
      <c r="C11" s="362" t="s">
        <v>986</v>
      </c>
      <c r="D11" s="362" t="s">
        <v>1029</v>
      </c>
      <c r="E11" s="362"/>
      <c r="F11" s="363">
        <v>13221</v>
      </c>
      <c r="G11" s="362"/>
      <c r="H11" s="363"/>
      <c r="I11" s="362"/>
      <c r="J11" s="362"/>
    </row>
    <row r="12" spans="1:10" ht="15">
      <c r="A12" s="362"/>
      <c r="B12" s="467">
        <v>44501</v>
      </c>
      <c r="C12" s="362" t="s">
        <v>1000</v>
      </c>
      <c r="D12" s="362" t="s">
        <v>1030</v>
      </c>
      <c r="E12" s="362"/>
      <c r="F12" s="363">
        <v>551000</v>
      </c>
      <c r="G12" s="362"/>
      <c r="H12" s="363"/>
      <c r="I12" s="362"/>
      <c r="J12" s="362"/>
    </row>
    <row r="13" spans="1:10" ht="15">
      <c r="A13" s="362"/>
      <c r="B13" s="467">
        <v>44501</v>
      </c>
      <c r="C13" s="362" t="s">
        <v>1004</v>
      </c>
      <c r="D13" s="362" t="s">
        <v>1031</v>
      </c>
      <c r="E13" s="362"/>
      <c r="F13" s="363">
        <v>5380</v>
      </c>
      <c r="G13" s="362"/>
      <c r="H13" s="363"/>
      <c r="I13" s="362"/>
      <c r="J13" s="362"/>
    </row>
    <row r="14" spans="1:10" ht="15">
      <c r="A14" s="362"/>
      <c r="B14" s="467">
        <v>44502</v>
      </c>
      <c r="C14" s="362" t="s">
        <v>997</v>
      </c>
      <c r="D14" s="362" t="s">
        <v>1032</v>
      </c>
      <c r="E14" s="362"/>
      <c r="F14" s="363">
        <v>6729.27</v>
      </c>
      <c r="G14" s="362"/>
      <c r="H14" s="363"/>
      <c r="I14" s="362"/>
      <c r="J14" s="362"/>
    </row>
    <row r="15" spans="1:10" ht="15">
      <c r="A15" s="362"/>
      <c r="B15" s="467">
        <v>44502</v>
      </c>
      <c r="C15" s="362" t="s">
        <v>1005</v>
      </c>
      <c r="D15" s="362" t="s">
        <v>1031</v>
      </c>
      <c r="E15" s="362"/>
      <c r="F15" s="363">
        <v>5380</v>
      </c>
      <c r="G15" s="362"/>
      <c r="H15" s="363"/>
      <c r="I15" s="362"/>
      <c r="J15" s="362"/>
    </row>
    <row r="16" spans="1:10" ht="15">
      <c r="A16" s="362"/>
      <c r="B16" s="467">
        <v>44503</v>
      </c>
      <c r="C16" s="362" t="s">
        <v>995</v>
      </c>
      <c r="D16" s="362" t="s">
        <v>996</v>
      </c>
      <c r="E16" s="362"/>
      <c r="F16" s="363">
        <v>45156.3</v>
      </c>
      <c r="G16" s="362"/>
      <c r="H16" s="363"/>
      <c r="I16" s="362"/>
      <c r="J16" s="362"/>
    </row>
    <row r="17" spans="1:10" ht="15">
      <c r="A17" s="362"/>
      <c r="B17" s="467">
        <v>44505</v>
      </c>
      <c r="C17" s="362" t="s">
        <v>999</v>
      </c>
      <c r="D17" s="362" t="s">
        <v>1033</v>
      </c>
      <c r="E17" s="362"/>
      <c r="F17" s="363">
        <v>45593.21</v>
      </c>
      <c r="G17" s="362"/>
      <c r="H17" s="363"/>
      <c r="I17" s="362"/>
      <c r="J17" s="362"/>
    </row>
    <row r="18" spans="1:10" ht="15">
      <c r="A18" s="362"/>
      <c r="B18" s="467">
        <v>44509</v>
      </c>
      <c r="C18" s="362" t="s">
        <v>994</v>
      </c>
      <c r="D18" s="362" t="s">
        <v>1034</v>
      </c>
      <c r="E18" s="362"/>
      <c r="F18" s="363">
        <v>46650.28</v>
      </c>
      <c r="G18" s="362"/>
      <c r="H18" s="363"/>
      <c r="I18" s="362"/>
      <c r="J18" s="362"/>
    </row>
    <row r="19" spans="1:10" ht="15">
      <c r="A19" s="362"/>
      <c r="B19" s="467">
        <v>44510</v>
      </c>
      <c r="C19" s="362" t="s">
        <v>998</v>
      </c>
      <c r="D19" s="362" t="s">
        <v>1035</v>
      </c>
      <c r="E19" s="362"/>
      <c r="F19" s="363">
        <f>100573.46-28.32</f>
        <v>100545.14</v>
      </c>
      <c r="G19" s="362"/>
      <c r="H19" s="363"/>
      <c r="I19" s="362"/>
      <c r="J19" s="362"/>
    </row>
    <row r="20" spans="1:10" ht="15">
      <c r="A20" s="362"/>
      <c r="B20" s="467">
        <v>44515</v>
      </c>
      <c r="C20" s="362" t="s">
        <v>1001</v>
      </c>
      <c r="D20" s="362" t="s">
        <v>1030</v>
      </c>
      <c r="E20" s="362"/>
      <c r="F20" s="363">
        <v>551000</v>
      </c>
      <c r="G20" s="362"/>
      <c r="H20" s="363"/>
      <c r="I20" s="362"/>
      <c r="J20" s="362"/>
    </row>
    <row r="21" spans="1:10" ht="15">
      <c r="A21" s="362"/>
      <c r="B21" s="467">
        <v>44515</v>
      </c>
      <c r="C21" s="362" t="s">
        <v>1006</v>
      </c>
      <c r="D21" s="362" t="s">
        <v>1036</v>
      </c>
      <c r="E21" s="362"/>
      <c r="F21" s="363">
        <v>298962.55</v>
      </c>
      <c r="G21" s="362"/>
      <c r="H21" s="363"/>
      <c r="I21" s="362"/>
      <c r="J21" s="362"/>
    </row>
    <row r="22" spans="1:10" ht="15">
      <c r="A22" s="362"/>
      <c r="B22" s="467">
        <v>44516</v>
      </c>
      <c r="C22" s="362" t="s">
        <v>989</v>
      </c>
      <c r="D22" s="362" t="s">
        <v>1037</v>
      </c>
      <c r="E22" s="362"/>
      <c r="F22" s="363">
        <v>165166</v>
      </c>
      <c r="G22" s="362"/>
      <c r="H22" s="363"/>
      <c r="I22" s="362"/>
      <c r="J22" s="362"/>
    </row>
    <row r="23" spans="1:10" ht="15">
      <c r="A23" s="362"/>
      <c r="B23" s="467">
        <v>44521</v>
      </c>
      <c r="C23" s="362" t="s">
        <v>1002</v>
      </c>
      <c r="D23" s="362" t="s">
        <v>1030</v>
      </c>
      <c r="E23" s="362"/>
      <c r="F23" s="363">
        <v>513000</v>
      </c>
      <c r="G23" s="362"/>
      <c r="H23" s="363"/>
      <c r="I23" s="362"/>
      <c r="J23" s="362"/>
    </row>
    <row r="24" spans="1:10" ht="15">
      <c r="A24" s="362"/>
      <c r="B24" s="467">
        <v>44522</v>
      </c>
      <c r="C24" s="362" t="s">
        <v>993</v>
      </c>
      <c r="D24" s="362" t="s">
        <v>1038</v>
      </c>
      <c r="E24" s="362"/>
      <c r="F24" s="363">
        <v>68389.81</v>
      </c>
      <c r="G24" s="362"/>
      <c r="H24" s="363"/>
      <c r="I24" s="362"/>
      <c r="J24" s="362"/>
    </row>
    <row r="25" spans="1:10" ht="15">
      <c r="A25" s="362"/>
      <c r="B25" s="467">
        <v>44524</v>
      </c>
      <c r="C25" s="362" t="s">
        <v>990</v>
      </c>
      <c r="D25" s="362" t="s">
        <v>1039</v>
      </c>
      <c r="E25" s="362"/>
      <c r="F25" s="363">
        <v>69471.16</v>
      </c>
      <c r="G25" s="362"/>
      <c r="H25" s="363"/>
      <c r="I25" s="362"/>
      <c r="J25" s="362"/>
    </row>
    <row r="26" spans="1:10" ht="15">
      <c r="A26" s="362"/>
      <c r="B26" s="467">
        <v>44528</v>
      </c>
      <c r="C26" s="362" t="s">
        <v>991</v>
      </c>
      <c r="D26" s="362" t="s">
        <v>992</v>
      </c>
      <c r="E26" s="362"/>
      <c r="F26" s="363">
        <v>96148.64</v>
      </c>
      <c r="G26" s="362"/>
      <c r="H26" s="363"/>
      <c r="I26" s="362"/>
      <c r="J26" s="362"/>
    </row>
    <row r="27" spans="1:10" ht="15">
      <c r="A27" s="362"/>
      <c r="B27" s="467">
        <v>44530</v>
      </c>
      <c r="C27" s="362" t="s">
        <v>1003</v>
      </c>
      <c r="D27" s="362" t="s">
        <v>1030</v>
      </c>
      <c r="E27" s="362"/>
      <c r="F27" s="363">
        <v>513000</v>
      </c>
      <c r="G27" s="362"/>
      <c r="H27" s="363"/>
      <c r="I27" s="362"/>
      <c r="J27" s="362"/>
    </row>
    <row r="28" spans="1:10" ht="15">
      <c r="A28" s="362"/>
      <c r="B28" s="467">
        <v>44532</v>
      </c>
      <c r="C28" s="362" t="s">
        <v>1007</v>
      </c>
      <c r="D28" s="362" t="s">
        <v>996</v>
      </c>
      <c r="E28" s="362"/>
      <c r="F28" s="475">
        <v>45156.3</v>
      </c>
      <c r="G28" s="362"/>
      <c r="H28" s="362"/>
      <c r="I28" s="362"/>
      <c r="J28" s="362"/>
    </row>
    <row r="29" spans="1:10" ht="15">
      <c r="A29" s="362"/>
      <c r="B29" s="467">
        <v>44532</v>
      </c>
      <c r="C29" s="362" t="s">
        <v>1009</v>
      </c>
      <c r="D29" s="362" t="s">
        <v>1040</v>
      </c>
      <c r="E29" s="362"/>
      <c r="F29" s="475">
        <v>26900</v>
      </c>
      <c r="G29" s="362"/>
      <c r="H29" s="362"/>
      <c r="I29" s="362"/>
      <c r="J29" s="362"/>
    </row>
    <row r="30" spans="1:10" ht="15">
      <c r="A30" s="362"/>
      <c r="B30" s="467">
        <v>44532</v>
      </c>
      <c r="C30" s="362" t="s">
        <v>1010</v>
      </c>
      <c r="D30" s="362" t="s">
        <v>1011</v>
      </c>
      <c r="E30" s="362"/>
      <c r="F30" s="475">
        <v>27670.65</v>
      </c>
      <c r="G30" s="362"/>
      <c r="H30" s="362"/>
      <c r="I30" s="362"/>
      <c r="J30" s="362"/>
    </row>
    <row r="31" spans="1:10" ht="15">
      <c r="A31" s="362"/>
      <c r="B31" s="467">
        <v>44538</v>
      </c>
      <c r="C31" s="362" t="s">
        <v>1015</v>
      </c>
      <c r="D31" s="362" t="s">
        <v>1031</v>
      </c>
      <c r="E31" s="362"/>
      <c r="F31" s="475">
        <v>5918</v>
      </c>
      <c r="G31" s="362"/>
      <c r="H31" s="362"/>
      <c r="I31" s="362"/>
      <c r="J31" s="362"/>
    </row>
    <row r="32" spans="1:10" ht="15">
      <c r="A32" s="362"/>
      <c r="B32" s="467">
        <v>44538</v>
      </c>
      <c r="C32" s="362" t="s">
        <v>1016</v>
      </c>
      <c r="D32" s="362" t="s">
        <v>1031</v>
      </c>
      <c r="E32" s="362"/>
      <c r="F32" s="475">
        <v>1076</v>
      </c>
      <c r="G32" s="362"/>
      <c r="H32" s="362"/>
      <c r="I32" s="362"/>
      <c r="J32" s="362"/>
    </row>
    <row r="33" spans="1:10" ht="15">
      <c r="A33" s="362"/>
      <c r="B33" s="467">
        <v>44540</v>
      </c>
      <c r="C33" s="362" t="s">
        <v>1013</v>
      </c>
      <c r="D33" s="362" t="s">
        <v>1014</v>
      </c>
      <c r="E33" s="362"/>
      <c r="F33" s="475">
        <v>239158</v>
      </c>
      <c r="G33" s="362"/>
      <c r="H33" s="362"/>
      <c r="I33" s="362"/>
      <c r="J33" s="362"/>
    </row>
    <row r="34" spans="1:10" ht="15">
      <c r="A34" s="362"/>
      <c r="B34" s="467">
        <v>44544</v>
      </c>
      <c r="C34" s="362" t="s">
        <v>1008</v>
      </c>
      <c r="D34" s="362" t="s">
        <v>1041</v>
      </c>
      <c r="E34" s="362"/>
      <c r="F34" s="475">
        <v>462648.82</v>
      </c>
      <c r="G34" s="362"/>
      <c r="H34" s="362"/>
      <c r="I34" s="362"/>
      <c r="J34" s="362"/>
    </row>
    <row r="35" spans="1:10" ht="15">
      <c r="A35" s="362"/>
      <c r="B35" s="467">
        <v>44545</v>
      </c>
      <c r="C35" s="362" t="s">
        <v>1012</v>
      </c>
      <c r="D35" s="362" t="s">
        <v>1042</v>
      </c>
      <c r="E35" s="362"/>
      <c r="F35" s="475">
        <v>2536840.6</v>
      </c>
      <c r="G35" s="362"/>
      <c r="H35" s="362"/>
      <c r="I35" s="362"/>
      <c r="J35" s="362"/>
    </row>
    <row r="36" spans="1:10" s="176" customFormat="1" ht="15">
      <c r="A36" s="468"/>
      <c r="B36" s="477">
        <v>44545</v>
      </c>
      <c r="C36" s="468" t="s">
        <v>1022</v>
      </c>
      <c r="D36" s="468" t="s">
        <v>1030</v>
      </c>
      <c r="E36" s="468"/>
      <c r="F36" s="478">
        <v>551000</v>
      </c>
      <c r="G36" s="468"/>
      <c r="H36" s="478"/>
      <c r="I36" s="468"/>
      <c r="J36" s="468"/>
    </row>
    <row r="37" spans="1:10" s="176" customFormat="1" ht="15">
      <c r="A37" s="468"/>
      <c r="B37" s="477">
        <v>44546</v>
      </c>
      <c r="C37" s="468" t="s">
        <v>1017</v>
      </c>
      <c r="D37" s="468" t="s">
        <v>1043</v>
      </c>
      <c r="E37" s="468"/>
      <c r="F37" s="475">
        <v>237300</v>
      </c>
      <c r="G37" s="468"/>
      <c r="H37" s="478"/>
      <c r="I37" s="468"/>
      <c r="J37" s="468"/>
    </row>
    <row r="38" spans="1:10" s="176" customFormat="1" ht="15">
      <c r="A38" s="468"/>
      <c r="B38" s="477">
        <v>44550</v>
      </c>
      <c r="C38" s="468" t="s">
        <v>1020</v>
      </c>
      <c r="D38" s="468" t="s">
        <v>1021</v>
      </c>
      <c r="E38" s="468"/>
      <c r="F38" s="475">
        <v>36809.4</v>
      </c>
      <c r="G38" s="468"/>
      <c r="H38" s="478"/>
      <c r="I38" s="468"/>
      <c r="J38" s="468"/>
    </row>
    <row r="39" spans="1:10" s="176" customFormat="1" ht="15">
      <c r="A39" s="468"/>
      <c r="B39" s="477">
        <v>44552</v>
      </c>
      <c r="C39" s="468" t="s">
        <v>1018</v>
      </c>
      <c r="D39" s="468" t="s">
        <v>1019</v>
      </c>
      <c r="E39" s="468"/>
      <c r="F39" s="475">
        <v>57372.25</v>
      </c>
      <c r="G39" s="468"/>
      <c r="H39" s="478"/>
      <c r="I39" s="468"/>
      <c r="J39" s="468"/>
    </row>
    <row r="40" spans="1:10" s="176" customFormat="1" ht="15">
      <c r="A40" s="468"/>
      <c r="B40" s="477">
        <v>44557</v>
      </c>
      <c r="C40" s="468" t="s">
        <v>1023</v>
      </c>
      <c r="D40" s="468" t="s">
        <v>1024</v>
      </c>
      <c r="E40" s="468"/>
      <c r="F40" s="478">
        <v>47500</v>
      </c>
      <c r="G40" s="468"/>
      <c r="H40" s="478"/>
      <c r="I40" s="468"/>
      <c r="J40" s="468"/>
    </row>
    <row r="41" spans="1:10" s="176" customFormat="1" ht="15">
      <c r="A41" s="468"/>
      <c r="B41" s="477">
        <v>44561</v>
      </c>
      <c r="C41" s="468" t="s">
        <v>1025</v>
      </c>
      <c r="D41" s="468" t="s">
        <v>1026</v>
      </c>
      <c r="E41" s="468"/>
      <c r="F41" s="478">
        <v>397453.12</v>
      </c>
      <c r="G41" s="468"/>
      <c r="H41" s="478"/>
      <c r="I41" s="468"/>
      <c r="J41" s="468"/>
    </row>
    <row r="42" spans="1:10" ht="15">
      <c r="A42" s="362"/>
      <c r="B42" s="362"/>
      <c r="C42" s="362"/>
      <c r="D42" s="466" t="s">
        <v>305</v>
      </c>
      <c r="E42" s="466" t="s">
        <v>982</v>
      </c>
      <c r="F42" s="476">
        <f>SUM(F6:F41)</f>
        <v>8111355.8900000015</v>
      </c>
      <c r="G42" s="362"/>
      <c r="H42" s="362"/>
      <c r="I42" s="362"/>
      <c r="J42" s="362"/>
    </row>
    <row r="43" spans="1:10" ht="15">
      <c r="A43" s="362"/>
      <c r="B43" s="362"/>
      <c r="C43" s="362"/>
      <c r="D43" s="362"/>
      <c r="E43" s="362"/>
      <c r="F43" s="362"/>
      <c r="G43" s="362"/>
      <c r="H43" s="362"/>
      <c r="I43" s="362"/>
      <c r="J43" s="362"/>
    </row>
    <row r="44" spans="1:10" ht="15">
      <c r="A44" s="362"/>
      <c r="B44" s="362"/>
      <c r="C44" s="362"/>
      <c r="D44" s="362"/>
      <c r="E44" s="466" t="s">
        <v>1027</v>
      </c>
      <c r="F44" s="472"/>
      <c r="G44" s="362"/>
      <c r="H44" s="362"/>
      <c r="I44" s="362"/>
      <c r="J44" s="362"/>
    </row>
    <row r="49" ht="15"/>
    <row r="50" ht="15"/>
    <row r="51" spans="2:12" ht="18.75">
      <c r="B51" s="503" t="s">
        <v>1046</v>
      </c>
      <c r="C51" s="503"/>
      <c r="D51" s="503"/>
      <c r="E51" s="503"/>
      <c r="F51" s="503"/>
      <c r="G51" s="503"/>
      <c r="H51" s="503"/>
      <c r="I51" s="503"/>
      <c r="J51" s="503"/>
      <c r="K51" s="503"/>
      <c r="L51" s="503"/>
    </row>
    <row r="56" ht="15"/>
    <row r="57" ht="15"/>
    <row r="58" spans="2:6" ht="18.75">
      <c r="B58" s="82" t="s">
        <v>1045</v>
      </c>
      <c r="F58" s="82" t="s">
        <v>1044</v>
      </c>
    </row>
  </sheetData>
  <sheetProtection/>
  <mergeCells count="1">
    <mergeCell ref="B51:L51"/>
  </mergeCells>
  <printOptions/>
  <pageMargins left="0.7" right="0.7" top="0.75" bottom="0.75" header="0.3" footer="0.3"/>
  <pageSetup horizontalDpi="600" verticalDpi="600" orientation="portrait" scale="52" r:id="rId2"/>
  <drawing r:id="rId1"/>
</worksheet>
</file>

<file path=xl/worksheets/sheet12.xml><?xml version="1.0" encoding="utf-8"?>
<worksheet xmlns="http://schemas.openxmlformats.org/spreadsheetml/2006/main" xmlns:r="http://schemas.openxmlformats.org/officeDocument/2006/relationships">
  <dimension ref="A4:E30"/>
  <sheetViews>
    <sheetView zoomScalePageLayoutView="0" workbookViewId="0" topLeftCell="A1">
      <selection activeCell="B9" sqref="B9"/>
    </sheetView>
  </sheetViews>
  <sheetFormatPr defaultColWidth="11.421875" defaultRowHeight="15"/>
  <cols>
    <col min="1" max="1" width="53.8515625" style="5" customWidth="1"/>
    <col min="2" max="2" width="12.421875" style="5" bestFit="1" customWidth="1"/>
    <col min="3" max="3" width="13.57421875" style="5" customWidth="1"/>
    <col min="4" max="16384" width="11.421875" style="5" customWidth="1"/>
  </cols>
  <sheetData>
    <row r="1" ht="15"/>
    <row r="2" ht="15"/>
    <row r="3" ht="15"/>
    <row r="4" spans="1:5" ht="15">
      <c r="A4" s="504" t="s">
        <v>1047</v>
      </c>
      <c r="B4" s="504"/>
      <c r="C4" s="504"/>
      <c r="D4" s="504"/>
      <c r="E4" s="504"/>
    </row>
    <row r="5" spans="1:5" ht="15">
      <c r="A5" s="504" t="s">
        <v>1048</v>
      </c>
      <c r="B5" s="504"/>
      <c r="C5" s="504"/>
      <c r="D5" s="504"/>
      <c r="E5" s="504"/>
    </row>
    <row r="9" spans="1:3" ht="15">
      <c r="A9" s="365" t="s">
        <v>1049</v>
      </c>
      <c r="B9" s="365" t="s">
        <v>1050</v>
      </c>
      <c r="C9" s="365" t="s">
        <v>1051</v>
      </c>
    </row>
    <row r="10" spans="1:5" ht="45">
      <c r="A10" s="479" t="s">
        <v>1052</v>
      </c>
      <c r="B10" s="363">
        <f>20280</f>
        <v>20280</v>
      </c>
      <c r="C10" s="363">
        <v>86673</v>
      </c>
      <c r="D10" s="18"/>
      <c r="E10" s="18"/>
    </row>
    <row r="11" spans="1:3" ht="39" customHeight="1">
      <c r="A11" s="362" t="s">
        <v>1053</v>
      </c>
      <c r="B11" s="363"/>
      <c r="C11" s="363">
        <v>130490.61</v>
      </c>
    </row>
    <row r="12" spans="1:3" ht="58.5" customHeight="1">
      <c r="A12" s="479" t="s">
        <v>1054</v>
      </c>
      <c r="B12" s="363"/>
      <c r="C12" s="363">
        <v>13.45</v>
      </c>
    </row>
    <row r="13" spans="1:4" ht="15">
      <c r="A13" s="362"/>
      <c r="B13" s="363"/>
      <c r="C13" s="363"/>
      <c r="D13" s="18"/>
    </row>
    <row r="14" spans="1:3" ht="45">
      <c r="A14" s="479" t="s">
        <v>1055</v>
      </c>
      <c r="B14" s="363"/>
      <c r="C14" s="363">
        <v>32638.76</v>
      </c>
    </row>
    <row r="15" spans="1:3" ht="30">
      <c r="A15" s="479" t="s">
        <v>1056</v>
      </c>
      <c r="B15" s="363"/>
      <c r="C15" s="363">
        <v>175.3</v>
      </c>
    </row>
    <row r="16" spans="1:3" ht="30">
      <c r="A16" s="479" t="s">
        <v>1057</v>
      </c>
      <c r="B16" s="363"/>
      <c r="C16" s="363">
        <v>18233.27</v>
      </c>
    </row>
    <row r="17" spans="1:3" ht="60">
      <c r="A17" s="479" t="s">
        <v>1058</v>
      </c>
      <c r="B17" s="363">
        <v>236870.02</v>
      </c>
      <c r="C17" s="363"/>
    </row>
    <row r="18" spans="1:3" ht="120">
      <c r="A18" s="479" t="s">
        <v>1059</v>
      </c>
      <c r="B18" s="363">
        <v>1495727.5</v>
      </c>
      <c r="C18" s="363"/>
    </row>
    <row r="19" spans="1:3" ht="15">
      <c r="A19" s="480" t="s">
        <v>1060</v>
      </c>
      <c r="B19" s="364">
        <f>SUM(B10:B18)</f>
        <v>1752877.52</v>
      </c>
      <c r="C19" s="364">
        <f>SUM(C10:C18)</f>
        <v>268224.39</v>
      </c>
    </row>
    <row r="20" spans="1:3" ht="15">
      <c r="A20" s="480" t="s">
        <v>1061</v>
      </c>
      <c r="B20" s="364">
        <f>+B19-C19</f>
        <v>1484653.13</v>
      </c>
      <c r="C20" s="364"/>
    </row>
    <row r="21" spans="1:3" ht="15">
      <c r="A21" s="481"/>
      <c r="B21" s="482"/>
      <c r="C21" s="482"/>
    </row>
    <row r="22" spans="1:3" ht="15">
      <c r="A22" s="481"/>
      <c r="B22" s="482"/>
      <c r="C22" s="482"/>
    </row>
    <row r="23" spans="2:3" ht="15">
      <c r="B23" s="18"/>
      <c r="C23" s="18"/>
    </row>
    <row r="24" spans="1:3" ht="15">
      <c r="A24" s="483" t="s">
        <v>1062</v>
      </c>
      <c r="B24" s="18"/>
      <c r="C24" s="18"/>
    </row>
    <row r="25" spans="1:3" ht="15">
      <c r="A25" s="484" t="s">
        <v>1063</v>
      </c>
      <c r="B25" s="18"/>
      <c r="C25" s="18"/>
    </row>
    <row r="26" spans="2:3" ht="15">
      <c r="B26" s="18"/>
      <c r="C26" s="18"/>
    </row>
    <row r="27" spans="2:3" ht="15">
      <c r="B27" s="18"/>
      <c r="C27" s="18"/>
    </row>
    <row r="28" spans="2:3" ht="15">
      <c r="B28" s="18"/>
      <c r="C28" s="18"/>
    </row>
    <row r="29" spans="2:3" ht="15">
      <c r="B29" s="18"/>
      <c r="C29" s="18"/>
    </row>
    <row r="30" spans="2:3" ht="15">
      <c r="B30" s="18"/>
      <c r="C30" s="18"/>
    </row>
  </sheetData>
  <sheetProtection/>
  <mergeCells count="2">
    <mergeCell ref="A4:E4"/>
    <mergeCell ref="A5:E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M49"/>
  <sheetViews>
    <sheetView zoomScalePageLayoutView="0" workbookViewId="0" topLeftCell="A1">
      <selection activeCell="A37" sqref="A37:G37"/>
    </sheetView>
  </sheetViews>
  <sheetFormatPr defaultColWidth="11.421875" defaultRowHeight="15"/>
  <cols>
    <col min="1" max="1" width="8.140625" style="259" customWidth="1"/>
    <col min="2" max="2" width="50.00390625" style="259" customWidth="1"/>
    <col min="3" max="4" width="1.7109375" style="259" customWidth="1"/>
    <col min="5" max="6" width="13.7109375" style="259" customWidth="1"/>
    <col min="7" max="7" width="1.421875" style="259" customWidth="1"/>
    <col min="8" max="8" width="3.7109375" style="259" customWidth="1"/>
    <col min="9" max="9" width="19.8515625" style="259" customWidth="1"/>
    <col min="10" max="10" width="14.8515625" style="259" hidden="1" customWidth="1"/>
    <col min="11" max="12" width="11.421875" style="259" customWidth="1"/>
    <col min="13" max="16384" width="11.421875" style="260" customWidth="1"/>
  </cols>
  <sheetData>
    <row r="1" spans="1:7" ht="15.75">
      <c r="A1" s="485" t="str">
        <f>+'[4]ESF - Situación Financiera'!A1</f>
        <v>OFICINA NACIONAL DE LA PROPIEDAD INDUSTRIAL(ONAPI)</v>
      </c>
      <c r="B1" s="485"/>
      <c r="C1" s="485"/>
      <c r="D1" s="485"/>
      <c r="E1" s="485"/>
      <c r="F1" s="485"/>
      <c r="G1" s="485"/>
    </row>
    <row r="2" spans="1:7" ht="15.75">
      <c r="A2" s="485" t="s">
        <v>777</v>
      </c>
      <c r="B2" s="485"/>
      <c r="C2" s="485"/>
      <c r="D2" s="485"/>
      <c r="E2" s="485"/>
      <c r="F2" s="485"/>
      <c r="G2" s="485"/>
    </row>
    <row r="3" spans="1:7" ht="15.75">
      <c r="A3" s="485" t="s">
        <v>793</v>
      </c>
      <c r="B3" s="485"/>
      <c r="C3" s="485"/>
      <c r="D3" s="485"/>
      <c r="E3" s="485"/>
      <c r="F3" s="485"/>
      <c r="G3" s="485"/>
    </row>
    <row r="4" spans="1:7" ht="15.75">
      <c r="A4" s="485" t="s">
        <v>737</v>
      </c>
      <c r="B4" s="485"/>
      <c r="C4" s="485"/>
      <c r="D4" s="485"/>
      <c r="E4" s="485"/>
      <c r="F4" s="485"/>
      <c r="G4" s="485"/>
    </row>
    <row r="5" spans="1:7" ht="15.75">
      <c r="A5" s="420"/>
      <c r="B5" s="420"/>
      <c r="C5" s="420"/>
      <c r="D5" s="420"/>
      <c r="E5" s="420"/>
      <c r="F5" s="420"/>
      <c r="G5" s="420"/>
    </row>
    <row r="6" spans="1:7" ht="15.75">
      <c r="A6" s="420"/>
      <c r="B6" s="420"/>
      <c r="C6" s="420"/>
      <c r="D6" s="420"/>
      <c r="E6" s="420"/>
      <c r="F6" s="420"/>
      <c r="G6" s="420"/>
    </row>
    <row r="7" spans="1:7" ht="15">
      <c r="A7" s="389"/>
      <c r="B7" s="390"/>
      <c r="C7" s="390"/>
      <c r="D7" s="390"/>
      <c r="E7" s="390"/>
      <c r="F7" s="389"/>
      <c r="G7" s="389"/>
    </row>
    <row r="8" spans="1:7" ht="15">
      <c r="A8" s="389"/>
      <c r="B8" s="389"/>
      <c r="C8" s="389"/>
      <c r="D8" s="389"/>
      <c r="E8" s="391">
        <v>2021</v>
      </c>
      <c r="F8" s="391">
        <v>2020</v>
      </c>
      <c r="G8" s="392"/>
    </row>
    <row r="9" spans="1:10" ht="15">
      <c r="A9" s="408" t="s">
        <v>778</v>
      </c>
      <c r="B9" s="409"/>
      <c r="C9" s="409"/>
      <c r="D9" s="409"/>
      <c r="E9" s="409"/>
      <c r="F9" s="410"/>
      <c r="G9" s="411"/>
      <c r="J9" s="261"/>
    </row>
    <row r="10" spans="1:10" ht="15">
      <c r="A10" s="389"/>
      <c r="B10" s="389" t="s">
        <v>779</v>
      </c>
      <c r="C10" s="389"/>
      <c r="D10" s="389"/>
      <c r="E10" s="412">
        <v>462848537.48</v>
      </c>
      <c r="F10" s="412">
        <v>364743513.69</v>
      </c>
      <c r="G10" s="413"/>
      <c r="J10" s="261" t="e">
        <f>+F10+#REF!</f>
        <v>#REF!</v>
      </c>
    </row>
    <row r="11" spans="1:10" ht="15">
      <c r="A11" s="389"/>
      <c r="B11" s="389" t="s">
        <v>683</v>
      </c>
      <c r="C11" s="389"/>
      <c r="D11" s="389"/>
      <c r="E11" s="412">
        <v>64422589</v>
      </c>
      <c r="F11" s="412">
        <v>63323357</v>
      </c>
      <c r="G11" s="413"/>
      <c r="J11" s="261" t="e">
        <f>+F11+#REF!</f>
        <v>#REF!</v>
      </c>
    </row>
    <row r="12" spans="1:10" ht="15">
      <c r="A12" s="389"/>
      <c r="B12" s="389" t="s">
        <v>780</v>
      </c>
      <c r="C12" s="389"/>
      <c r="D12" s="389"/>
      <c r="E12" s="417">
        <v>613168.43</v>
      </c>
      <c r="F12" s="417">
        <v>867898.06</v>
      </c>
      <c r="G12" s="413"/>
      <c r="J12" s="261" t="e">
        <f>+F12+#REF!</f>
        <v>#REF!</v>
      </c>
    </row>
    <row r="13" spans="1:10" ht="15">
      <c r="A13" s="408" t="s">
        <v>914</v>
      </c>
      <c r="B13" s="389"/>
      <c r="C13" s="389"/>
      <c r="D13" s="389"/>
      <c r="E13" s="414">
        <f>SUM(E10:E12)</f>
        <v>527884294.91</v>
      </c>
      <c r="F13" s="414">
        <f>SUM(F10:F12)</f>
        <v>428934768.75</v>
      </c>
      <c r="G13" s="413"/>
      <c r="J13" s="261" t="e">
        <f>+F13+#REF!</f>
        <v>#REF!</v>
      </c>
    </row>
    <row r="14" spans="1:12" ht="15">
      <c r="A14" s="389"/>
      <c r="B14" s="389" t="s">
        <v>616</v>
      </c>
      <c r="C14" s="389"/>
      <c r="D14" s="389"/>
      <c r="E14" s="389"/>
      <c r="F14" s="412"/>
      <c r="G14" s="412"/>
      <c r="L14" s="380"/>
    </row>
    <row r="15" spans="1:10" ht="15">
      <c r="A15" s="408" t="s">
        <v>794</v>
      </c>
      <c r="B15" s="389"/>
      <c r="C15" s="389"/>
      <c r="D15" s="389"/>
      <c r="E15" s="389"/>
      <c r="F15" s="413"/>
      <c r="G15" s="413"/>
      <c r="I15" s="381"/>
      <c r="J15" s="261"/>
    </row>
    <row r="16" spans="1:10" ht="15">
      <c r="A16" s="389"/>
      <c r="B16" s="389" t="s">
        <v>781</v>
      </c>
      <c r="C16" s="389"/>
      <c r="D16" s="389"/>
      <c r="E16" s="397">
        <v>348666564.84</v>
      </c>
      <c r="F16" s="397">
        <v>280047658.96</v>
      </c>
      <c r="G16" s="412"/>
      <c r="I16" s="379"/>
      <c r="J16" s="261"/>
    </row>
    <row r="17" spans="1:10" ht="15">
      <c r="A17" s="389"/>
      <c r="B17" s="389" t="s">
        <v>782</v>
      </c>
      <c r="C17" s="389"/>
      <c r="D17" s="389"/>
      <c r="E17" s="397">
        <v>953723.53</v>
      </c>
      <c r="F17" s="397">
        <v>1434300.51</v>
      </c>
      <c r="G17" s="413"/>
      <c r="I17" s="379"/>
      <c r="J17" s="261"/>
    </row>
    <row r="18" spans="1:13" ht="15">
      <c r="A18" s="389"/>
      <c r="B18" s="275" t="s">
        <v>783</v>
      </c>
      <c r="C18" s="389"/>
      <c r="D18" s="389"/>
      <c r="E18" s="397">
        <v>27236509.94</v>
      </c>
      <c r="F18" s="397">
        <v>22049692.33</v>
      </c>
      <c r="G18" s="413"/>
      <c r="I18" s="379"/>
      <c r="J18" s="261"/>
      <c r="K18" s="262"/>
      <c r="M18" s="281"/>
    </row>
    <row r="19" spans="1:11" ht="15">
      <c r="A19" s="389"/>
      <c r="B19" s="389" t="s">
        <v>784</v>
      </c>
      <c r="C19" s="389"/>
      <c r="D19" s="389"/>
      <c r="E19" s="397">
        <v>15731967.88</v>
      </c>
      <c r="F19" s="397">
        <v>17522395.13</v>
      </c>
      <c r="G19" s="413"/>
      <c r="I19" s="382"/>
      <c r="J19" s="261"/>
      <c r="K19" s="378"/>
    </row>
    <row r="20" spans="1:10" ht="15" hidden="1">
      <c r="A20" s="389"/>
      <c r="B20" s="389" t="s">
        <v>785</v>
      </c>
      <c r="C20" s="389"/>
      <c r="D20" s="389"/>
      <c r="E20" s="397"/>
      <c r="F20" s="397">
        <v>0</v>
      </c>
      <c r="G20" s="413"/>
      <c r="J20" s="261"/>
    </row>
    <row r="21" spans="1:13" ht="15">
      <c r="A21" s="389"/>
      <c r="B21" s="275" t="s">
        <v>786</v>
      </c>
      <c r="C21" s="389"/>
      <c r="D21" s="389"/>
      <c r="E21" s="405">
        <v>64390613.62</v>
      </c>
      <c r="F21" s="405">
        <v>55752390.46</v>
      </c>
      <c r="G21" s="413"/>
      <c r="I21" s="261"/>
      <c r="J21" s="261"/>
      <c r="K21" s="262"/>
      <c r="M21" s="281"/>
    </row>
    <row r="22" spans="1:10" ht="15" hidden="1">
      <c r="A22" s="389"/>
      <c r="B22" s="389" t="s">
        <v>787</v>
      </c>
      <c r="C22" s="389"/>
      <c r="D22" s="389"/>
      <c r="E22" s="389"/>
      <c r="F22" s="412">
        <v>0</v>
      </c>
      <c r="G22" s="413"/>
      <c r="J22" s="261" t="e">
        <f>+F22+#REF!</f>
        <v>#REF!</v>
      </c>
    </row>
    <row r="23" spans="1:10" ht="15">
      <c r="A23" s="408" t="s">
        <v>915</v>
      </c>
      <c r="B23" s="389"/>
      <c r="C23" s="389"/>
      <c r="D23" s="389"/>
      <c r="E23" s="414">
        <f>SUM(E16:E21)</f>
        <v>456979379.80999994</v>
      </c>
      <c r="F23" s="414">
        <f>SUM(F16:F22)</f>
        <v>376806437.3899999</v>
      </c>
      <c r="G23" s="413"/>
      <c r="J23" s="261" t="e">
        <f>+F23+#REF!</f>
        <v>#REF!</v>
      </c>
    </row>
    <row r="24" spans="1:10" ht="15" hidden="1">
      <c r="A24" s="415"/>
      <c r="B24" s="389"/>
      <c r="C24" s="389"/>
      <c r="D24" s="389"/>
      <c r="E24" s="389"/>
      <c r="F24" s="412"/>
      <c r="G24" s="412"/>
      <c r="J24" s="261" t="e">
        <f>+F24+#REF!</f>
        <v>#REF!</v>
      </c>
    </row>
    <row r="25" spans="1:10" ht="15" hidden="1">
      <c r="A25" s="389"/>
      <c r="B25" s="389" t="s">
        <v>788</v>
      </c>
      <c r="C25" s="389"/>
      <c r="D25" s="389"/>
      <c r="E25" s="389"/>
      <c r="F25" s="412">
        <v>0</v>
      </c>
      <c r="G25" s="413"/>
      <c r="J25" s="261" t="e">
        <f>+F25+#REF!</f>
        <v>#REF!</v>
      </c>
    </row>
    <row r="26" spans="1:10" ht="15" hidden="1">
      <c r="A26" s="389"/>
      <c r="B26" s="389"/>
      <c r="C26" s="389"/>
      <c r="D26" s="389"/>
      <c r="E26" s="389"/>
      <c r="F26" s="412"/>
      <c r="G26" s="413"/>
      <c r="J26" s="261" t="e">
        <f>+F26+#REF!</f>
        <v>#REF!</v>
      </c>
    </row>
    <row r="27" spans="1:10" ht="15" hidden="1">
      <c r="A27" s="389"/>
      <c r="B27" s="389" t="s">
        <v>789</v>
      </c>
      <c r="C27" s="389"/>
      <c r="D27" s="389"/>
      <c r="E27" s="389"/>
      <c r="F27" s="412">
        <v>0</v>
      </c>
      <c r="G27" s="413"/>
      <c r="J27" s="261" t="e">
        <f>+F27+#REF!</f>
        <v>#REF!</v>
      </c>
    </row>
    <row r="28" spans="1:7" ht="15">
      <c r="A28" s="389"/>
      <c r="B28" s="389"/>
      <c r="C28" s="389"/>
      <c r="D28" s="389"/>
      <c r="E28" s="418"/>
      <c r="F28" s="417"/>
      <c r="G28" s="413"/>
    </row>
    <row r="29" spans="1:10" ht="15.75" thickBot="1">
      <c r="A29" s="408" t="s">
        <v>913</v>
      </c>
      <c r="B29" s="389"/>
      <c r="C29" s="389"/>
      <c r="D29" s="389"/>
      <c r="E29" s="419">
        <f>+E13-E23</f>
        <v>70904915.10000008</v>
      </c>
      <c r="F29" s="419">
        <f>+F13-F23+F25+F27</f>
        <v>52128331.360000074</v>
      </c>
      <c r="G29" s="413"/>
      <c r="J29" s="261" t="e">
        <f>+F29+#REF!</f>
        <v>#REF!</v>
      </c>
    </row>
    <row r="30" spans="1:7" ht="15" hidden="1">
      <c r="A30" s="408"/>
      <c r="B30" s="389"/>
      <c r="C30" s="389"/>
      <c r="D30" s="389"/>
      <c r="E30" s="389"/>
      <c r="F30" s="412"/>
      <c r="G30" s="412"/>
    </row>
    <row r="31" spans="1:10" ht="15" hidden="1">
      <c r="A31" s="415" t="s">
        <v>790</v>
      </c>
      <c r="B31" s="389"/>
      <c r="C31" s="389"/>
      <c r="D31" s="389"/>
      <c r="E31" s="389"/>
      <c r="F31" s="412"/>
      <c r="G31" s="412"/>
      <c r="J31" s="261" t="e">
        <f>+F31+#REF!</f>
        <v>#REF!</v>
      </c>
    </row>
    <row r="32" spans="1:10" ht="15" hidden="1">
      <c r="A32" s="408"/>
      <c r="B32" s="389" t="s">
        <v>791</v>
      </c>
      <c r="C32" s="389"/>
      <c r="D32" s="389"/>
      <c r="E32" s="389"/>
      <c r="F32" s="412">
        <v>0</v>
      </c>
      <c r="G32" s="413"/>
      <c r="J32" s="261" t="e">
        <f>+F32+#REF!</f>
        <v>#REF!</v>
      </c>
    </row>
    <row r="33" spans="1:10" ht="15" hidden="1">
      <c r="A33" s="389"/>
      <c r="B33" s="389" t="s">
        <v>792</v>
      </c>
      <c r="C33" s="389"/>
      <c r="D33" s="389"/>
      <c r="E33" s="389"/>
      <c r="F33" s="412">
        <v>0</v>
      </c>
      <c r="G33" s="413"/>
      <c r="J33" s="261" t="e">
        <f>+F33+#REF!</f>
        <v>#REF!</v>
      </c>
    </row>
    <row r="34" spans="1:10" ht="15" hidden="1">
      <c r="A34" s="408"/>
      <c r="B34" s="389"/>
      <c r="C34" s="389"/>
      <c r="D34" s="389"/>
      <c r="E34" s="389"/>
      <c r="F34" s="414">
        <f>SUM(F32:F33)</f>
        <v>0</v>
      </c>
      <c r="G34" s="416"/>
      <c r="J34" s="261" t="e">
        <f>+F34+#REF!</f>
        <v>#REF!</v>
      </c>
    </row>
    <row r="35" spans="1:7" ht="15.75" thickTop="1">
      <c r="A35" s="408"/>
      <c r="B35" s="389"/>
      <c r="C35" s="389"/>
      <c r="D35" s="389"/>
      <c r="E35" s="389"/>
      <c r="F35" s="412"/>
      <c r="G35" s="412"/>
    </row>
    <row r="36" spans="1:7" ht="15">
      <c r="A36" s="389"/>
      <c r="B36" s="389"/>
      <c r="C36" s="389"/>
      <c r="D36" s="389"/>
      <c r="E36" s="389"/>
      <c r="F36" s="412"/>
      <c r="G36" s="412"/>
    </row>
    <row r="37" spans="1:7" ht="15">
      <c r="A37" s="489" t="s">
        <v>919</v>
      </c>
      <c r="B37" s="489"/>
      <c r="C37" s="489"/>
      <c r="D37" s="489"/>
      <c r="E37" s="489"/>
      <c r="F37" s="489"/>
      <c r="G37" s="489"/>
    </row>
    <row r="38" spans="2:5" ht="15">
      <c r="B38" s="266"/>
      <c r="C38" s="266"/>
      <c r="D38" s="266"/>
      <c r="E38" s="266"/>
    </row>
    <row r="40" spans="6:7" ht="15">
      <c r="F40" s="261"/>
      <c r="G40" s="261"/>
    </row>
    <row r="41" spans="4:5" ht="15">
      <c r="D41" s="267"/>
      <c r="E41" s="267"/>
    </row>
    <row r="42" ht="15"/>
    <row r="43" spans="2:4" ht="15">
      <c r="B43" s="259" t="s">
        <v>795</v>
      </c>
      <c r="D43" s="267"/>
    </row>
    <row r="44" ht="15">
      <c r="D44" s="267"/>
    </row>
    <row r="45" ht="15">
      <c r="D45" s="267"/>
    </row>
    <row r="47" ht="15">
      <c r="D47" s="267"/>
    </row>
    <row r="48" ht="15"/>
    <row r="49" spans="1:4" ht="18.75">
      <c r="A49" s="82" t="s">
        <v>775</v>
      </c>
      <c r="B49" s="279"/>
      <c r="D49" s="280" t="s">
        <v>776</v>
      </c>
    </row>
  </sheetData>
  <sheetProtection/>
  <mergeCells count="5">
    <mergeCell ref="A1:G1"/>
    <mergeCell ref="A2:G2"/>
    <mergeCell ref="A3:G3"/>
    <mergeCell ref="A4:G4"/>
    <mergeCell ref="A37:G37"/>
  </mergeCells>
  <printOptions/>
  <pageMargins left="1.4" right="0.7" top="0.75" bottom="0.75" header="0.3" footer="0.3"/>
  <pageSetup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dimension ref="A2:O43"/>
  <sheetViews>
    <sheetView zoomScalePageLayoutView="0" workbookViewId="0" topLeftCell="A1">
      <selection activeCell="M34" sqref="M34"/>
    </sheetView>
  </sheetViews>
  <sheetFormatPr defaultColWidth="11.421875" defaultRowHeight="15"/>
  <cols>
    <col min="1" max="1" width="3.7109375" style="259" customWidth="1"/>
    <col min="2" max="2" width="1.28515625" style="259" customWidth="1"/>
    <col min="3" max="3" width="36.140625" style="259" customWidth="1"/>
    <col min="4" max="4" width="1.7109375" style="259" customWidth="1"/>
    <col min="5" max="5" width="14.7109375" style="263" customWidth="1"/>
    <col min="6" max="6" width="1.7109375" style="263" customWidth="1"/>
    <col min="7" max="7" width="14.7109375" style="263" customWidth="1"/>
    <col min="8" max="8" width="1.7109375" style="263" customWidth="1"/>
    <col min="9" max="9" width="14.421875" style="263" customWidth="1"/>
    <col min="10" max="10" width="1.7109375" style="263" customWidth="1"/>
    <col min="11" max="11" width="16.421875" style="259" customWidth="1"/>
    <col min="12" max="12" width="1.7109375" style="259" customWidth="1"/>
    <col min="13" max="13" width="19.140625" style="259" customWidth="1"/>
    <col min="14" max="14" width="3.7109375" style="259" customWidth="1"/>
    <col min="15" max="15" width="17.421875" style="259" customWidth="1"/>
    <col min="16" max="16384" width="11.421875" style="260" customWidth="1"/>
  </cols>
  <sheetData>
    <row r="2" spans="2:13" ht="15.75">
      <c r="B2" s="485" t="str">
        <f>+'[5]ESF - Situación Financiera'!A1</f>
        <v>OFICINA NACIONAL DE LA PROPIEDAD INDUSTRIAL(ONAPI)</v>
      </c>
      <c r="C2" s="485"/>
      <c r="D2" s="485"/>
      <c r="E2" s="485"/>
      <c r="F2" s="485"/>
      <c r="G2" s="485"/>
      <c r="H2" s="485"/>
      <c r="I2" s="485"/>
      <c r="J2" s="485"/>
      <c r="K2" s="485"/>
      <c r="L2" s="485"/>
      <c r="M2" s="485"/>
    </row>
    <row r="3" spans="2:13" ht="15.75">
      <c r="B3" s="485" t="s">
        <v>796</v>
      </c>
      <c r="C3" s="485"/>
      <c r="D3" s="485"/>
      <c r="E3" s="485"/>
      <c r="F3" s="485"/>
      <c r="G3" s="485"/>
      <c r="H3" s="485"/>
      <c r="I3" s="485"/>
      <c r="J3" s="485"/>
      <c r="K3" s="485"/>
      <c r="L3" s="485"/>
      <c r="M3" s="485"/>
    </row>
    <row r="4" spans="2:13" ht="15.75">
      <c r="B4" s="485" t="s">
        <v>811</v>
      </c>
      <c r="C4" s="485"/>
      <c r="D4" s="485"/>
      <c r="E4" s="485"/>
      <c r="F4" s="485"/>
      <c r="G4" s="485"/>
      <c r="H4" s="485"/>
      <c r="I4" s="485"/>
      <c r="J4" s="485"/>
      <c r="K4" s="485"/>
      <c r="L4" s="485"/>
      <c r="M4" s="485"/>
    </row>
    <row r="5" spans="2:13" ht="15.75">
      <c r="B5" s="485" t="s">
        <v>737</v>
      </c>
      <c r="C5" s="485"/>
      <c r="D5" s="485"/>
      <c r="E5" s="485"/>
      <c r="F5" s="485"/>
      <c r="G5" s="485"/>
      <c r="H5" s="485"/>
      <c r="I5" s="485"/>
      <c r="J5" s="485"/>
      <c r="K5" s="485"/>
      <c r="L5" s="485"/>
      <c r="M5" s="485"/>
    </row>
    <row r="6" spans="2:13" ht="15">
      <c r="B6" s="389"/>
      <c r="C6" s="390"/>
      <c r="D6" s="390"/>
      <c r="E6" s="421"/>
      <c r="F6" s="421"/>
      <c r="G6" s="421"/>
      <c r="H6" s="422"/>
      <c r="I6" s="421"/>
      <c r="J6" s="421"/>
      <c r="K6" s="389"/>
      <c r="L6" s="390"/>
      <c r="M6" s="389"/>
    </row>
    <row r="7" spans="2:13" ht="42.75">
      <c r="B7" s="389"/>
      <c r="C7" s="428"/>
      <c r="D7" s="428"/>
      <c r="E7" s="436" t="s">
        <v>797</v>
      </c>
      <c r="F7" s="392"/>
      <c r="G7" s="436" t="s">
        <v>798</v>
      </c>
      <c r="H7" s="437"/>
      <c r="I7" s="436" t="s">
        <v>799</v>
      </c>
      <c r="J7" s="392"/>
      <c r="K7" s="436" t="s">
        <v>800</v>
      </c>
      <c r="L7" s="392"/>
      <c r="M7" s="436" t="s">
        <v>801</v>
      </c>
    </row>
    <row r="8" spans="2:14" ht="15">
      <c r="B8" s="389"/>
      <c r="C8" s="389" t="s">
        <v>802</v>
      </c>
      <c r="D8" s="389"/>
      <c r="E8" s="423">
        <v>188811914.47</v>
      </c>
      <c r="F8" s="424"/>
      <c r="G8" s="423">
        <v>0</v>
      </c>
      <c r="H8" s="412"/>
      <c r="I8" s="423">
        <v>0</v>
      </c>
      <c r="J8" s="424"/>
      <c r="K8" s="412">
        <f>44935333.41+70649256.14</f>
        <v>115584589.55</v>
      </c>
      <c r="L8" s="412"/>
      <c r="M8" s="412">
        <f>SUM(E8,G8,I8,K8)</f>
        <v>304396504.02</v>
      </c>
      <c r="N8" s="261"/>
    </row>
    <row r="9" spans="1:15" s="5" customFormat="1" ht="15">
      <c r="A9" s="263"/>
      <c r="B9" s="421"/>
      <c r="C9" s="389" t="s">
        <v>803</v>
      </c>
      <c r="D9" s="389"/>
      <c r="E9" s="423">
        <v>0</v>
      </c>
      <c r="F9" s="424"/>
      <c r="G9" s="423">
        <v>0</v>
      </c>
      <c r="H9" s="412"/>
      <c r="I9" s="423"/>
      <c r="J9" s="424"/>
      <c r="K9" s="423"/>
      <c r="L9" s="412"/>
      <c r="M9" s="423">
        <f>SUM(E9,G9,I9,K9)</f>
        <v>0</v>
      </c>
      <c r="N9" s="263"/>
      <c r="O9" s="263"/>
    </row>
    <row r="10" spans="1:15" s="5" customFormat="1" ht="15">
      <c r="A10" s="263"/>
      <c r="B10" s="421"/>
      <c r="C10" s="389" t="s">
        <v>804</v>
      </c>
      <c r="D10" s="389"/>
      <c r="E10" s="423">
        <v>0</v>
      </c>
      <c r="F10" s="424"/>
      <c r="G10" s="423"/>
      <c r="H10" s="412"/>
      <c r="I10" s="423">
        <v>0</v>
      </c>
      <c r="J10" s="424"/>
      <c r="K10" s="423"/>
      <c r="L10" s="412"/>
      <c r="M10" s="423">
        <f>SUM(E10,G10,I10,K10)</f>
        <v>0</v>
      </c>
      <c r="N10" s="263"/>
      <c r="O10" s="263"/>
    </row>
    <row r="11" spans="2:15" ht="15">
      <c r="B11" s="389"/>
      <c r="C11" s="389" t="s">
        <v>805</v>
      </c>
      <c r="D11" s="389"/>
      <c r="E11" s="412">
        <v>9630259.54</v>
      </c>
      <c r="F11" s="424"/>
      <c r="G11" s="423"/>
      <c r="H11" s="412"/>
      <c r="I11" s="423"/>
      <c r="J11" s="424"/>
      <c r="K11" s="412"/>
      <c r="L11" s="412"/>
      <c r="M11" s="412">
        <f>SUM(E11,G11,I11,K11)</f>
        <v>9630259.54</v>
      </c>
      <c r="O11" s="261"/>
    </row>
    <row r="12" spans="2:15" ht="15">
      <c r="B12" s="389"/>
      <c r="C12" s="389" t="s">
        <v>806</v>
      </c>
      <c r="D12" s="389"/>
      <c r="E12" s="429">
        <v>0</v>
      </c>
      <c r="F12" s="424"/>
      <c r="G12" s="429"/>
      <c r="H12" s="412"/>
      <c r="I12" s="429"/>
      <c r="J12" s="424"/>
      <c r="K12" s="417">
        <f>+'Estado de Situación Financiera '!E55</f>
        <v>52128331.360000074</v>
      </c>
      <c r="L12" s="412"/>
      <c r="M12" s="417">
        <f>SUM(E12,G12,I12,K12)</f>
        <v>52128331.360000074</v>
      </c>
      <c r="O12" s="261"/>
    </row>
    <row r="13" spans="2:13" ht="15.75" thickBot="1">
      <c r="B13" s="389"/>
      <c r="C13" s="428" t="s">
        <v>813</v>
      </c>
      <c r="D13" s="389"/>
      <c r="E13" s="430">
        <f>SUM(E8:E12)</f>
        <v>198442174.01</v>
      </c>
      <c r="F13" s="431"/>
      <c r="G13" s="430">
        <f>SUM(G8:G12)</f>
        <v>0</v>
      </c>
      <c r="H13" s="432"/>
      <c r="I13" s="430">
        <f>SUM(I8:I12)</f>
        <v>0</v>
      </c>
      <c r="J13" s="431"/>
      <c r="K13" s="432">
        <f>SUM(K8:K12)</f>
        <v>167712920.9100001</v>
      </c>
      <c r="L13" s="432"/>
      <c r="M13" s="432">
        <f>SUM(M8:M12)</f>
        <v>366155094.9200001</v>
      </c>
    </row>
    <row r="14" spans="2:13" ht="15.75" thickTop="1">
      <c r="B14" s="389"/>
      <c r="C14" s="389" t="s">
        <v>807</v>
      </c>
      <c r="D14" s="389"/>
      <c r="E14" s="425">
        <v>114633129.66</v>
      </c>
      <c r="F14" s="425"/>
      <c r="G14" s="425"/>
      <c r="H14" s="412"/>
      <c r="I14" s="425"/>
      <c r="J14" s="425"/>
      <c r="K14" s="412">
        <v>251521965.26</v>
      </c>
      <c r="L14" s="412"/>
      <c r="M14" s="412">
        <f>SUM(E14:L14)</f>
        <v>366155094.91999996</v>
      </c>
    </row>
    <row r="15" spans="1:15" s="5" customFormat="1" ht="15">
      <c r="A15" s="263"/>
      <c r="B15" s="421"/>
      <c r="C15" s="426" t="s">
        <v>803</v>
      </c>
      <c r="D15" s="389"/>
      <c r="E15" s="423">
        <v>0</v>
      </c>
      <c r="F15" s="424"/>
      <c r="G15" s="423">
        <v>0</v>
      </c>
      <c r="H15" s="412"/>
      <c r="I15" s="423"/>
      <c r="J15" s="424"/>
      <c r="K15" s="423"/>
      <c r="L15" s="412"/>
      <c r="M15" s="423">
        <f>SUM(E15,G15,I15,K15)</f>
        <v>0</v>
      </c>
      <c r="N15" s="263"/>
      <c r="O15" s="263"/>
    </row>
    <row r="16" spans="1:15" s="5" customFormat="1" ht="30">
      <c r="A16" s="263"/>
      <c r="B16" s="421"/>
      <c r="C16" s="426" t="s">
        <v>804</v>
      </c>
      <c r="D16" s="389"/>
      <c r="E16" s="423">
        <v>0</v>
      </c>
      <c r="F16" s="424"/>
      <c r="G16" s="423"/>
      <c r="H16" s="412"/>
      <c r="I16" s="423">
        <v>0</v>
      </c>
      <c r="J16" s="424"/>
      <c r="K16" s="423"/>
      <c r="L16" s="412"/>
      <c r="M16" s="423">
        <f>SUM(E16,G16,I16,K16)</f>
        <v>0</v>
      </c>
      <c r="N16" s="263"/>
      <c r="O16" s="263"/>
    </row>
    <row r="17" spans="1:15" s="5" customFormat="1" ht="30">
      <c r="A17" s="263"/>
      <c r="B17" s="421"/>
      <c r="C17" s="427" t="s">
        <v>808</v>
      </c>
      <c r="D17" s="389"/>
      <c r="E17" s="423">
        <v>0</v>
      </c>
      <c r="F17" s="424"/>
      <c r="G17" s="423"/>
      <c r="H17" s="412"/>
      <c r="I17" s="423">
        <v>0</v>
      </c>
      <c r="J17" s="424"/>
      <c r="K17" s="423">
        <v>0</v>
      </c>
      <c r="L17" s="412"/>
      <c r="M17" s="423">
        <f>SUM(E17,G17,I17,K17)</f>
        <v>0</v>
      </c>
      <c r="N17" s="263"/>
      <c r="O17" s="263"/>
    </row>
    <row r="18" spans="2:13" ht="15">
      <c r="B18" s="389"/>
      <c r="C18" s="426" t="s">
        <v>805</v>
      </c>
      <c r="D18" s="389"/>
      <c r="E18" s="423">
        <v>-1484653.93</v>
      </c>
      <c r="F18" s="424"/>
      <c r="G18" s="423"/>
      <c r="H18" s="412"/>
      <c r="I18" s="423"/>
      <c r="J18" s="424"/>
      <c r="K18" s="412">
        <v>0</v>
      </c>
      <c r="L18" s="412"/>
      <c r="M18" s="412">
        <f>SUM(E18,G18,I18,K18)</f>
        <v>-1484653.93</v>
      </c>
    </row>
    <row r="19" spans="2:13" ht="15">
      <c r="B19" s="389"/>
      <c r="C19" s="426" t="s">
        <v>806</v>
      </c>
      <c r="D19" s="389"/>
      <c r="E19" s="429">
        <v>0</v>
      </c>
      <c r="F19" s="424"/>
      <c r="G19" s="429"/>
      <c r="H19" s="412"/>
      <c r="I19" s="429"/>
      <c r="J19" s="424"/>
      <c r="K19" s="417">
        <f>+'Estado de Situación Financiera '!D55</f>
        <v>70904915.10000008</v>
      </c>
      <c r="L19" s="412"/>
      <c r="M19" s="417">
        <f>SUM(E19,G19,I19,K19)</f>
        <v>70904915.10000008</v>
      </c>
    </row>
    <row r="20" spans="2:13" ht="15.75" thickBot="1">
      <c r="B20" s="408"/>
      <c r="C20" s="428" t="s">
        <v>812</v>
      </c>
      <c r="D20" s="389"/>
      <c r="E20" s="432">
        <f>SUM(E14:E19)</f>
        <v>113148475.72999999</v>
      </c>
      <c r="F20" s="433"/>
      <c r="G20" s="432">
        <f>SUM(G19,G13)</f>
        <v>0</v>
      </c>
      <c r="H20" s="434"/>
      <c r="I20" s="432">
        <f>SUM(I19,I13)</f>
        <v>0</v>
      </c>
      <c r="J20" s="433"/>
      <c r="K20" s="432">
        <f>SUM(K14:K19)</f>
        <v>322426880.3600001</v>
      </c>
      <c r="L20" s="435"/>
      <c r="M20" s="432">
        <f>SUM(M14:M19)</f>
        <v>435575356.09000003</v>
      </c>
    </row>
    <row r="21" spans="2:13" ht="15.75" thickTop="1">
      <c r="B21" s="408"/>
      <c r="C21" s="389"/>
      <c r="D21" s="389"/>
      <c r="E21" s="425"/>
      <c r="F21" s="425"/>
      <c r="G21" s="425"/>
      <c r="H21" s="425"/>
      <c r="I21" s="425"/>
      <c r="J21" s="425"/>
      <c r="K21" s="412"/>
      <c r="L21" s="412"/>
      <c r="M21" s="412"/>
    </row>
    <row r="22" spans="2:13" ht="15">
      <c r="B22" s="408"/>
      <c r="C22" s="389"/>
      <c r="D22" s="389"/>
      <c r="E22" s="425"/>
      <c r="F22" s="425"/>
      <c r="G22" s="425"/>
      <c r="H22" s="425"/>
      <c r="I22" s="425"/>
      <c r="J22" s="425"/>
      <c r="K22" s="412"/>
      <c r="L22" s="412"/>
      <c r="M22" s="412"/>
    </row>
    <row r="23" spans="2:13" ht="15">
      <c r="B23" s="389"/>
      <c r="C23" s="260"/>
      <c r="D23" s="260"/>
      <c r="E23" s="260"/>
      <c r="F23" s="260"/>
      <c r="G23" s="260"/>
      <c r="H23" s="260"/>
      <c r="I23" s="260"/>
      <c r="J23" s="421"/>
      <c r="K23" s="412"/>
      <c r="L23" s="389"/>
      <c r="M23" s="389"/>
    </row>
    <row r="24" spans="2:13" ht="15">
      <c r="B24" s="389"/>
      <c r="C24" s="389"/>
      <c r="D24" s="389"/>
      <c r="E24" s="389"/>
      <c r="F24" s="389"/>
      <c r="G24" s="389"/>
      <c r="H24" s="389"/>
      <c r="I24" s="389"/>
      <c r="J24" s="389"/>
      <c r="K24" s="389"/>
      <c r="L24" s="389"/>
      <c r="M24" s="389"/>
    </row>
    <row r="25" spans="3:12" ht="15">
      <c r="C25" s="428" t="s">
        <v>920</v>
      </c>
      <c r="D25" s="428"/>
      <c r="E25" s="428"/>
      <c r="F25" s="428"/>
      <c r="G25" s="428"/>
      <c r="H25" s="428"/>
      <c r="I25" s="428"/>
      <c r="K25" s="261"/>
      <c r="L25" s="266"/>
    </row>
    <row r="26" spans="3:12" ht="15">
      <c r="C26" s="428" t="s">
        <v>924</v>
      </c>
      <c r="D26" s="428"/>
      <c r="E26" s="428"/>
      <c r="F26" s="428"/>
      <c r="G26" s="428"/>
      <c r="H26" s="428"/>
      <c r="I26" s="428"/>
      <c r="K26" s="261"/>
      <c r="L26" s="266"/>
    </row>
    <row r="27" spans="3:11" ht="15">
      <c r="C27" s="428" t="s">
        <v>921</v>
      </c>
      <c r="K27" s="261"/>
    </row>
    <row r="28" spans="3:11" ht="15">
      <c r="C28" s="428" t="s">
        <v>925</v>
      </c>
      <c r="K28" s="261"/>
    </row>
    <row r="29" spans="3:11" ht="15">
      <c r="C29" s="428" t="s">
        <v>922</v>
      </c>
      <c r="K29" s="261"/>
    </row>
    <row r="30" spans="3:11" ht="15">
      <c r="C30" s="428" t="s">
        <v>923</v>
      </c>
      <c r="K30" s="261"/>
    </row>
    <row r="31" spans="3:11" ht="15">
      <c r="C31" s="428" t="s">
        <v>926</v>
      </c>
      <c r="K31" s="261"/>
    </row>
    <row r="32" spans="3:11" ht="15">
      <c r="C32" s="428"/>
      <c r="K32" s="261"/>
    </row>
    <row r="33" spans="3:11" ht="15">
      <c r="C33" s="428"/>
      <c r="K33" s="261"/>
    </row>
    <row r="34" spans="3:11" ht="15">
      <c r="C34" s="489" t="s">
        <v>919</v>
      </c>
      <c r="D34" s="489"/>
      <c r="E34" s="489"/>
      <c r="F34" s="489"/>
      <c r="G34" s="489"/>
      <c r="H34" s="489"/>
      <c r="I34" s="489"/>
      <c r="K34" s="261"/>
    </row>
    <row r="35" spans="3:11" ht="15">
      <c r="C35" s="378"/>
      <c r="E35" s="265"/>
      <c r="F35" s="265"/>
      <c r="G35" s="265"/>
      <c r="H35" s="265"/>
      <c r="I35" s="265"/>
      <c r="K35" s="261"/>
    </row>
    <row r="36" spans="3:11" ht="15">
      <c r="C36" s="378"/>
      <c r="K36" s="261"/>
    </row>
    <row r="37" spans="5:11" ht="15">
      <c r="E37" s="282" t="s">
        <v>895</v>
      </c>
      <c r="K37" s="261"/>
    </row>
    <row r="41" ht="15"/>
    <row r="42" ht="15"/>
    <row r="43" spans="3:11" ht="15">
      <c r="C43" s="259" t="s">
        <v>809</v>
      </c>
      <c r="K43" s="259" t="s">
        <v>810</v>
      </c>
    </row>
  </sheetData>
  <sheetProtection/>
  <mergeCells count="5">
    <mergeCell ref="B2:M2"/>
    <mergeCell ref="B3:M3"/>
    <mergeCell ref="B4:M4"/>
    <mergeCell ref="B5:M5"/>
    <mergeCell ref="C34:I34"/>
  </mergeCells>
  <printOptions/>
  <pageMargins left="1.77" right="0.36" top="0.7480314960629921" bottom="0.7480314960629921" header="0.31496062992125984" footer="0.31496062992125984"/>
  <pageSetup horizontalDpi="600" verticalDpi="600" orientation="landscape" scale="68" r:id="rId2"/>
  <drawing r:id="rId1"/>
</worksheet>
</file>

<file path=xl/worksheets/sheet4.xml><?xml version="1.0" encoding="utf-8"?>
<worksheet xmlns="http://schemas.openxmlformats.org/spreadsheetml/2006/main" xmlns:r="http://schemas.openxmlformats.org/officeDocument/2006/relationships">
  <dimension ref="A1:K82"/>
  <sheetViews>
    <sheetView zoomScalePageLayoutView="0" workbookViewId="0" topLeftCell="A1">
      <selection activeCell="B63" sqref="B63"/>
    </sheetView>
  </sheetViews>
  <sheetFormatPr defaultColWidth="11.421875" defaultRowHeight="15"/>
  <cols>
    <col min="1" max="1" width="11.421875" style="5" customWidth="1"/>
    <col min="2" max="2" width="53.00390625" style="5" customWidth="1"/>
    <col min="3" max="3" width="11.421875" style="5" customWidth="1"/>
    <col min="4" max="4" width="24.00390625" style="5" customWidth="1"/>
    <col min="5" max="5" width="27.57421875" style="5" customWidth="1"/>
    <col min="6" max="6" width="13.00390625" style="5" bestFit="1" customWidth="1"/>
    <col min="7" max="8" width="11.421875" style="5" customWidth="1"/>
    <col min="9" max="9" width="16.140625" style="5" bestFit="1" customWidth="1"/>
    <col min="10" max="16384" width="11.421875" style="5" customWidth="1"/>
  </cols>
  <sheetData>
    <row r="1" spans="1:11" ht="15.75">
      <c r="A1" s="485" t="str">
        <f>+'[6]ESF - Situación Financiera'!A1</f>
        <v>OFICINA NACIONAL DE LA PROPIEDAD INDUSTRIAL(ONAPI)</v>
      </c>
      <c r="B1" s="485"/>
      <c r="C1" s="485"/>
      <c r="D1" s="485"/>
      <c r="E1" s="485"/>
      <c r="F1" s="289"/>
      <c r="G1" s="290"/>
      <c r="H1" s="291"/>
      <c r="I1" s="291"/>
      <c r="J1" s="292"/>
      <c r="K1" s="260"/>
    </row>
    <row r="2" spans="1:11" ht="15.75">
      <c r="A2" s="485" t="s">
        <v>848</v>
      </c>
      <c r="B2" s="485"/>
      <c r="C2" s="485"/>
      <c r="D2" s="485"/>
      <c r="E2" s="485"/>
      <c r="F2" s="289"/>
      <c r="G2" s="290"/>
      <c r="H2" s="291"/>
      <c r="I2" s="291"/>
      <c r="J2" s="292"/>
      <c r="K2" s="260"/>
    </row>
    <row r="3" spans="1:11" ht="15.75">
      <c r="A3" s="485" t="s">
        <v>894</v>
      </c>
      <c r="B3" s="485"/>
      <c r="C3" s="485"/>
      <c r="D3" s="485"/>
      <c r="E3" s="485"/>
      <c r="F3" s="289"/>
      <c r="G3" s="290"/>
      <c r="H3" s="293"/>
      <c r="I3" s="291"/>
      <c r="J3" s="292"/>
      <c r="K3" s="260"/>
    </row>
    <row r="4" spans="1:11" ht="15.75">
      <c r="A4" s="485" t="s">
        <v>737</v>
      </c>
      <c r="B4" s="485"/>
      <c r="C4" s="485"/>
      <c r="D4" s="485"/>
      <c r="E4" s="485"/>
      <c r="F4" s="289"/>
      <c r="G4" s="290"/>
      <c r="H4" s="293"/>
      <c r="I4" s="291"/>
      <c r="J4" s="292"/>
      <c r="K4" s="260"/>
    </row>
    <row r="5" spans="1:11" ht="15">
      <c r="A5" s="389"/>
      <c r="B5" s="390"/>
      <c r="C5" s="390"/>
      <c r="D5" s="412"/>
      <c r="E5" s="389" t="s">
        <v>616</v>
      </c>
      <c r="F5" s="294"/>
      <c r="G5" s="290"/>
      <c r="H5" s="291"/>
      <c r="I5" s="293"/>
      <c r="J5" s="292"/>
      <c r="K5" s="260"/>
    </row>
    <row r="6" spans="1:11" ht="15">
      <c r="A6" s="389"/>
      <c r="B6" s="389"/>
      <c r="C6" s="389"/>
      <c r="D6" s="438">
        <v>2021</v>
      </c>
      <c r="E6" s="438">
        <v>2020</v>
      </c>
      <c r="F6" s="295"/>
      <c r="G6" s="290"/>
      <c r="H6" s="291"/>
      <c r="I6" s="293"/>
      <c r="J6" s="292"/>
      <c r="K6" s="260"/>
    </row>
    <row r="7" spans="1:11" ht="15">
      <c r="A7" s="408" t="s">
        <v>849</v>
      </c>
      <c r="B7" s="409"/>
      <c r="C7" s="409"/>
      <c r="D7" s="410"/>
      <c r="E7" s="411"/>
      <c r="F7" s="296"/>
      <c r="G7" s="290"/>
      <c r="H7" s="291"/>
      <c r="I7" s="291"/>
      <c r="J7" s="292"/>
      <c r="K7" s="260"/>
    </row>
    <row r="8" spans="1:10" ht="15" customHeight="1" hidden="1">
      <c r="A8" s="421"/>
      <c r="B8" s="426" t="s">
        <v>850</v>
      </c>
      <c r="C8" s="389"/>
      <c r="D8" s="425">
        <v>0</v>
      </c>
      <c r="E8" s="425">
        <v>0</v>
      </c>
      <c r="F8" s="297"/>
      <c r="G8" s="298"/>
      <c r="H8" s="299"/>
      <c r="I8" s="299"/>
      <c r="J8" s="216"/>
    </row>
    <row r="9" spans="1:10" ht="15" customHeight="1" hidden="1">
      <c r="A9" s="421"/>
      <c r="B9" s="426" t="s">
        <v>851</v>
      </c>
      <c r="C9" s="389"/>
      <c r="D9" s="425">
        <v>0</v>
      </c>
      <c r="E9" s="425">
        <v>0</v>
      </c>
      <c r="F9" s="297"/>
      <c r="G9" s="298"/>
      <c r="H9" s="299"/>
      <c r="I9" s="299"/>
      <c r="J9" s="216"/>
    </row>
    <row r="10" spans="1:10" ht="15" customHeight="1">
      <c r="A10" s="421"/>
      <c r="B10" s="426" t="s">
        <v>852</v>
      </c>
      <c r="C10" s="389"/>
      <c r="D10" s="412">
        <v>462848538</v>
      </c>
      <c r="E10" s="425">
        <v>364743514</v>
      </c>
      <c r="F10" s="297"/>
      <c r="G10" s="298"/>
      <c r="H10" s="300"/>
      <c r="I10" s="301"/>
      <c r="J10" s="216"/>
    </row>
    <row r="11" spans="1:11" ht="15" customHeight="1">
      <c r="A11" s="389"/>
      <c r="B11" s="426" t="s">
        <v>853</v>
      </c>
      <c r="C11" s="389"/>
      <c r="D11" s="412">
        <v>64422589</v>
      </c>
      <c r="E11" s="412">
        <v>63323357</v>
      </c>
      <c r="F11" s="302"/>
      <c r="G11" s="290"/>
      <c r="H11" s="293"/>
      <c r="I11" s="303"/>
      <c r="J11" s="292"/>
      <c r="K11" s="260"/>
    </row>
    <row r="12" spans="1:10" ht="15" customHeight="1" hidden="1">
      <c r="A12" s="421"/>
      <c r="B12" s="426" t="s">
        <v>854</v>
      </c>
      <c r="C12" s="389"/>
      <c r="D12" s="425"/>
      <c r="E12" s="425"/>
      <c r="F12" s="297"/>
      <c r="G12" s="298"/>
      <c r="H12" s="300"/>
      <c r="I12" s="301"/>
      <c r="J12" s="304"/>
    </row>
    <row r="13" spans="1:10" ht="15" customHeight="1" hidden="1">
      <c r="A13" s="421"/>
      <c r="B13" s="426" t="s">
        <v>855</v>
      </c>
      <c r="C13" s="389"/>
      <c r="D13" s="425"/>
      <c r="E13" s="425"/>
      <c r="F13" s="297"/>
      <c r="G13" s="298"/>
      <c r="H13" s="299"/>
      <c r="I13" s="301"/>
      <c r="J13" s="216"/>
    </row>
    <row r="14" spans="1:10" ht="15" customHeight="1" hidden="1">
      <c r="A14" s="421"/>
      <c r="B14" s="426" t="s">
        <v>856</v>
      </c>
      <c r="C14" s="389"/>
      <c r="D14" s="425"/>
      <c r="E14" s="425"/>
      <c r="F14" s="297"/>
      <c r="G14" s="298"/>
      <c r="H14" s="299"/>
      <c r="I14" s="301"/>
      <c r="J14" s="216"/>
    </row>
    <row r="15" spans="1:10" ht="15" customHeight="1" hidden="1">
      <c r="A15" s="421"/>
      <c r="B15" s="426" t="s">
        <v>857</v>
      </c>
      <c r="C15" s="389"/>
      <c r="D15" s="412">
        <v>613168</v>
      </c>
      <c r="E15" s="425">
        <v>867898</v>
      </c>
      <c r="F15" s="297"/>
      <c r="G15" s="298"/>
      <c r="H15" s="300"/>
      <c r="I15" s="301"/>
      <c r="J15" s="216"/>
    </row>
    <row r="16" spans="1:10" ht="15" customHeight="1">
      <c r="A16" s="421"/>
      <c r="B16" s="426"/>
      <c r="C16" s="389"/>
      <c r="D16" s="425"/>
      <c r="E16" s="425"/>
      <c r="F16" s="297"/>
      <c r="G16" s="298"/>
      <c r="H16" s="300"/>
      <c r="I16" s="301"/>
      <c r="J16" s="216"/>
    </row>
    <row r="17" spans="1:11" ht="15" customHeight="1">
      <c r="A17" s="389"/>
      <c r="B17" s="426" t="s">
        <v>858</v>
      </c>
      <c r="C17" s="389"/>
      <c r="D17" s="412">
        <v>-297771477</v>
      </c>
      <c r="E17" s="412">
        <v>-250566665</v>
      </c>
      <c r="F17" s="302"/>
      <c r="G17" s="290"/>
      <c r="H17" s="291"/>
      <c r="I17" s="303"/>
      <c r="J17" s="292"/>
      <c r="K17" s="260"/>
    </row>
    <row r="18" spans="1:10" ht="15" customHeight="1">
      <c r="A18" s="421"/>
      <c r="B18" s="426" t="s">
        <v>859</v>
      </c>
      <c r="C18" s="389"/>
      <c r="D18" s="425">
        <v>-35254941.92</v>
      </c>
      <c r="E18" s="425">
        <v>-29954521</v>
      </c>
      <c r="F18" s="297"/>
      <c r="G18" s="298"/>
      <c r="H18" s="299"/>
      <c r="I18" s="301"/>
      <c r="J18" s="216"/>
    </row>
    <row r="19" spans="1:10" ht="15" customHeight="1" hidden="1">
      <c r="A19" s="421"/>
      <c r="B19" s="426" t="s">
        <v>860</v>
      </c>
      <c r="C19" s="389"/>
      <c r="D19" s="425"/>
      <c r="E19" s="425"/>
      <c r="F19" s="297"/>
      <c r="G19" s="298"/>
      <c r="H19" s="299"/>
      <c r="I19" s="301"/>
      <c r="J19" s="216"/>
    </row>
    <row r="20" spans="1:11" ht="15" customHeight="1">
      <c r="A20" s="389"/>
      <c r="B20" s="426" t="s">
        <v>861</v>
      </c>
      <c r="C20" s="389"/>
      <c r="D20" s="412">
        <v>-75913886</v>
      </c>
      <c r="E20" s="412">
        <v>-74152805</v>
      </c>
      <c r="F20" s="302"/>
      <c r="G20" s="290"/>
      <c r="H20" s="291"/>
      <c r="I20" s="303"/>
      <c r="J20" s="292"/>
      <c r="K20" s="260"/>
    </row>
    <row r="21" spans="1:11" ht="15" customHeight="1">
      <c r="A21" s="389"/>
      <c r="B21" s="426" t="s">
        <v>862</v>
      </c>
      <c r="C21" s="389"/>
      <c r="D21" s="417">
        <v>-21882691</v>
      </c>
      <c r="E21" s="417">
        <v>-25942499</v>
      </c>
      <c r="F21" s="302"/>
      <c r="G21" s="305"/>
      <c r="H21" s="291"/>
      <c r="I21" s="303"/>
      <c r="J21" s="292"/>
      <c r="K21" s="260"/>
    </row>
    <row r="22" spans="1:11" ht="15" customHeight="1">
      <c r="A22" s="408" t="s">
        <v>863</v>
      </c>
      <c r="B22" s="389"/>
      <c r="C22" s="389"/>
      <c r="D22" s="414">
        <f>SUM(D8:D21)</f>
        <v>97061299.07999998</v>
      </c>
      <c r="E22" s="414">
        <f>SUM(E10:E21)</f>
        <v>48318279</v>
      </c>
      <c r="F22" s="306"/>
      <c r="G22" s="290"/>
      <c r="H22" s="291"/>
      <c r="I22" s="303"/>
      <c r="J22" s="292"/>
      <c r="K22" s="260"/>
    </row>
    <row r="23" spans="1:11" ht="15" customHeight="1">
      <c r="A23" s="389"/>
      <c r="B23" s="389" t="s">
        <v>616</v>
      </c>
      <c r="C23" s="389"/>
      <c r="D23" s="412"/>
      <c r="E23" s="412"/>
      <c r="F23" s="302"/>
      <c r="G23" s="290"/>
      <c r="H23" s="291"/>
      <c r="I23" s="303"/>
      <c r="J23" s="292"/>
      <c r="K23" s="260"/>
    </row>
    <row r="24" spans="1:11" ht="15" customHeight="1" hidden="1">
      <c r="A24" s="408" t="s">
        <v>864</v>
      </c>
      <c r="B24" s="409"/>
      <c r="C24" s="409"/>
      <c r="D24" s="414"/>
      <c r="E24" s="412"/>
      <c r="F24" s="302"/>
      <c r="G24" s="290"/>
      <c r="H24" s="291"/>
      <c r="I24" s="303"/>
      <c r="J24" s="292"/>
      <c r="K24" s="260"/>
    </row>
    <row r="25" spans="1:10" ht="15" customHeight="1" hidden="1">
      <c r="A25" s="421"/>
      <c r="B25" s="426" t="s">
        <v>865</v>
      </c>
      <c r="C25" s="389"/>
      <c r="D25" s="425">
        <v>0</v>
      </c>
      <c r="E25" s="425">
        <v>0</v>
      </c>
      <c r="F25" s="297"/>
      <c r="G25" s="298"/>
      <c r="H25" s="299"/>
      <c r="I25" s="301"/>
      <c r="J25" s="216"/>
    </row>
    <row r="26" spans="1:10" ht="15" customHeight="1" hidden="1">
      <c r="A26" s="421"/>
      <c r="B26" s="426" t="s">
        <v>866</v>
      </c>
      <c r="C26" s="389"/>
      <c r="D26" s="425">
        <v>0</v>
      </c>
      <c r="E26" s="425">
        <v>0</v>
      </c>
      <c r="F26" s="297"/>
      <c r="G26" s="298"/>
      <c r="H26" s="299"/>
      <c r="I26" s="301"/>
      <c r="J26" s="216"/>
    </row>
    <row r="27" spans="1:10" ht="15" customHeight="1" hidden="1">
      <c r="A27" s="421"/>
      <c r="B27" s="426" t="s">
        <v>867</v>
      </c>
      <c r="C27" s="389"/>
      <c r="D27" s="425">
        <v>0</v>
      </c>
      <c r="E27" s="425">
        <v>0</v>
      </c>
      <c r="F27" s="297"/>
      <c r="G27" s="298"/>
      <c r="H27" s="299"/>
      <c r="I27" s="301"/>
      <c r="J27" s="216"/>
    </row>
    <row r="28" spans="1:10" ht="15" customHeight="1" hidden="1">
      <c r="A28" s="421"/>
      <c r="B28" s="426" t="s">
        <v>868</v>
      </c>
      <c r="C28" s="389"/>
      <c r="D28" s="425">
        <v>0</v>
      </c>
      <c r="E28" s="425">
        <v>0</v>
      </c>
      <c r="F28" s="297"/>
      <c r="G28" s="298"/>
      <c r="H28" s="299"/>
      <c r="I28" s="301"/>
      <c r="J28" s="216"/>
    </row>
    <row r="29" spans="1:10" ht="15" customHeight="1" hidden="1">
      <c r="A29" s="421"/>
      <c r="B29" s="426" t="s">
        <v>869</v>
      </c>
      <c r="C29" s="389"/>
      <c r="D29" s="425">
        <v>0</v>
      </c>
      <c r="E29" s="425">
        <v>0</v>
      </c>
      <c r="F29" s="297"/>
      <c r="G29" s="298"/>
      <c r="H29" s="299"/>
      <c r="I29" s="301"/>
      <c r="J29" s="216"/>
    </row>
    <row r="30" spans="1:10" ht="15" customHeight="1" hidden="1">
      <c r="A30" s="421"/>
      <c r="B30" s="426" t="s">
        <v>857</v>
      </c>
      <c r="C30" s="389"/>
      <c r="D30" s="425">
        <v>0</v>
      </c>
      <c r="E30" s="425">
        <v>0</v>
      </c>
      <c r="F30" s="297"/>
      <c r="G30" s="298"/>
      <c r="H30" s="299"/>
      <c r="I30" s="301"/>
      <c r="J30" s="216"/>
    </row>
    <row r="31" spans="1:10" ht="15" customHeight="1" hidden="1">
      <c r="A31" s="439"/>
      <c r="B31" s="427"/>
      <c r="C31" s="421"/>
      <c r="D31" s="425"/>
      <c r="E31" s="425"/>
      <c r="F31" s="297"/>
      <c r="G31" s="298"/>
      <c r="H31" s="299"/>
      <c r="I31" s="301"/>
      <c r="J31" s="216"/>
    </row>
    <row r="32" spans="1:11" ht="15" customHeight="1" hidden="1">
      <c r="A32" s="389"/>
      <c r="B32" s="426" t="s">
        <v>870</v>
      </c>
      <c r="C32" s="389"/>
      <c r="D32" s="412">
        <v>0</v>
      </c>
      <c r="E32" s="412">
        <v>0</v>
      </c>
      <c r="F32" s="302"/>
      <c r="G32" s="290"/>
      <c r="H32" s="291"/>
      <c r="I32" s="303"/>
      <c r="J32" s="292"/>
      <c r="K32" s="260"/>
    </row>
    <row r="33" spans="1:11" ht="15" customHeight="1" hidden="1">
      <c r="A33" s="389"/>
      <c r="B33" s="426" t="s">
        <v>871</v>
      </c>
      <c r="C33" s="389"/>
      <c r="D33" s="412">
        <v>0</v>
      </c>
      <c r="E33" s="412">
        <v>0</v>
      </c>
      <c r="F33" s="302"/>
      <c r="G33" s="290"/>
      <c r="H33" s="291"/>
      <c r="I33" s="303"/>
      <c r="J33" s="292"/>
      <c r="K33" s="260"/>
    </row>
    <row r="34" spans="1:10" ht="15" customHeight="1" hidden="1">
      <c r="A34" s="421"/>
      <c r="B34" s="426" t="s">
        <v>872</v>
      </c>
      <c r="C34" s="389"/>
      <c r="D34" s="425">
        <v>0</v>
      </c>
      <c r="E34" s="425">
        <v>0</v>
      </c>
      <c r="F34" s="297"/>
      <c r="G34" s="298"/>
      <c r="H34" s="299"/>
      <c r="I34" s="301"/>
      <c r="J34" s="216"/>
    </row>
    <row r="35" spans="1:10" ht="15" customHeight="1" hidden="1">
      <c r="A35" s="421"/>
      <c r="B35" s="426" t="s">
        <v>873</v>
      </c>
      <c r="C35" s="389"/>
      <c r="D35" s="425">
        <v>0</v>
      </c>
      <c r="E35" s="425">
        <v>0</v>
      </c>
      <c r="F35" s="297"/>
      <c r="G35" s="298"/>
      <c r="H35" s="299"/>
      <c r="I35" s="301"/>
      <c r="J35" s="216"/>
    </row>
    <row r="36" spans="1:10" ht="15" customHeight="1" hidden="1">
      <c r="A36" s="421"/>
      <c r="B36" s="426" t="s">
        <v>874</v>
      </c>
      <c r="C36" s="389"/>
      <c r="D36" s="425">
        <v>0</v>
      </c>
      <c r="E36" s="425">
        <v>0</v>
      </c>
      <c r="F36" s="297"/>
      <c r="G36" s="298"/>
      <c r="H36" s="299"/>
      <c r="I36" s="301"/>
      <c r="J36" s="216"/>
    </row>
    <row r="37" spans="1:10" ht="15" customHeight="1" hidden="1">
      <c r="A37" s="421"/>
      <c r="B37" s="426" t="s">
        <v>875</v>
      </c>
      <c r="C37" s="389"/>
      <c r="D37" s="425">
        <v>0</v>
      </c>
      <c r="E37" s="425">
        <v>0</v>
      </c>
      <c r="F37" s="297"/>
      <c r="G37" s="298"/>
      <c r="H37" s="299"/>
      <c r="I37" s="301"/>
      <c r="J37" s="216"/>
    </row>
    <row r="38" spans="1:10" ht="15" customHeight="1" hidden="1">
      <c r="A38" s="421"/>
      <c r="B38" s="426" t="s">
        <v>862</v>
      </c>
      <c r="C38" s="389"/>
      <c r="D38" s="425">
        <v>0</v>
      </c>
      <c r="E38" s="425">
        <v>0</v>
      </c>
      <c r="F38" s="297"/>
      <c r="G38" s="307"/>
      <c r="H38" s="299"/>
      <c r="I38" s="301"/>
      <c r="J38" s="216"/>
    </row>
    <row r="39" spans="1:11" ht="15" customHeight="1" hidden="1">
      <c r="A39" s="408" t="s">
        <v>876</v>
      </c>
      <c r="B39" s="389"/>
      <c r="C39" s="389"/>
      <c r="D39" s="414">
        <f>SUM(D25:D38)</f>
        <v>0</v>
      </c>
      <c r="E39" s="414">
        <f>SUM(E25:E38)</f>
        <v>0</v>
      </c>
      <c r="F39" s="306"/>
      <c r="G39" s="290"/>
      <c r="H39" s="291"/>
      <c r="I39" s="303"/>
      <c r="J39" s="292"/>
      <c r="K39" s="260"/>
    </row>
    <row r="40" spans="1:11" ht="15" customHeight="1" hidden="1">
      <c r="A40" s="408"/>
      <c r="B40" s="389"/>
      <c r="C40" s="389"/>
      <c r="D40" s="412"/>
      <c r="E40" s="412"/>
      <c r="F40" s="302"/>
      <c r="G40" s="290"/>
      <c r="H40" s="291"/>
      <c r="I40" s="303"/>
      <c r="J40" s="292"/>
      <c r="K40" s="260"/>
    </row>
    <row r="41" spans="1:10" ht="15" customHeight="1" hidden="1">
      <c r="A41" s="439" t="s">
        <v>877</v>
      </c>
      <c r="B41" s="440"/>
      <c r="C41" s="440"/>
      <c r="D41" s="414"/>
      <c r="E41" s="412"/>
      <c r="F41" s="302"/>
      <c r="G41" s="290"/>
      <c r="H41" s="299"/>
      <c r="I41" s="301"/>
      <c r="J41" s="216"/>
    </row>
    <row r="42" spans="1:10" ht="15" customHeight="1" hidden="1">
      <c r="A42" s="421"/>
      <c r="B42" s="426" t="s">
        <v>878</v>
      </c>
      <c r="C42" s="389"/>
      <c r="D42" s="425">
        <v>0</v>
      </c>
      <c r="E42" s="425">
        <v>0</v>
      </c>
      <c r="F42" s="297"/>
      <c r="G42" s="298"/>
      <c r="H42" s="299"/>
      <c r="I42" s="301"/>
      <c r="J42" s="216"/>
    </row>
    <row r="43" spans="1:10" ht="15" customHeight="1" hidden="1">
      <c r="A43" s="421"/>
      <c r="B43" s="426" t="s">
        <v>879</v>
      </c>
      <c r="C43" s="389"/>
      <c r="D43" s="425">
        <v>0</v>
      </c>
      <c r="E43" s="425">
        <v>0</v>
      </c>
      <c r="F43" s="297"/>
      <c r="G43" s="298"/>
      <c r="H43" s="299"/>
      <c r="I43" s="303"/>
      <c r="J43" s="216"/>
    </row>
    <row r="44" spans="1:10" ht="15" customHeight="1" hidden="1">
      <c r="A44" s="421"/>
      <c r="B44" s="426" t="s">
        <v>880</v>
      </c>
      <c r="C44" s="389"/>
      <c r="D44" s="425">
        <v>0</v>
      </c>
      <c r="E44" s="425">
        <v>0</v>
      </c>
      <c r="F44" s="297"/>
      <c r="G44" s="298"/>
      <c r="H44" s="299"/>
      <c r="I44" s="301"/>
      <c r="J44" s="216"/>
    </row>
    <row r="45" spans="1:10" ht="15" customHeight="1" hidden="1">
      <c r="A45" s="421"/>
      <c r="B45" s="426" t="s">
        <v>881</v>
      </c>
      <c r="C45" s="389"/>
      <c r="D45" s="425">
        <v>0</v>
      </c>
      <c r="E45" s="425">
        <v>0</v>
      </c>
      <c r="F45" s="297"/>
      <c r="G45" s="298"/>
      <c r="H45" s="299"/>
      <c r="I45" s="301"/>
      <c r="J45" s="216"/>
    </row>
    <row r="46" spans="1:10" ht="15" customHeight="1" hidden="1">
      <c r="A46" s="421"/>
      <c r="B46" s="426" t="s">
        <v>857</v>
      </c>
      <c r="C46" s="389"/>
      <c r="D46" s="425">
        <v>0</v>
      </c>
      <c r="E46" s="425">
        <v>0</v>
      </c>
      <c r="F46" s="297"/>
      <c r="G46" s="298"/>
      <c r="H46" s="299"/>
      <c r="I46" s="301"/>
      <c r="J46" s="216"/>
    </row>
    <row r="47" spans="1:10" ht="15" customHeight="1" hidden="1">
      <c r="A47" s="439"/>
      <c r="B47" s="427"/>
      <c r="C47" s="421"/>
      <c r="D47" s="425"/>
      <c r="E47" s="425"/>
      <c r="F47" s="297"/>
      <c r="G47" s="298"/>
      <c r="H47" s="299"/>
      <c r="I47" s="301"/>
      <c r="J47" s="216"/>
    </row>
    <row r="48" spans="1:10" ht="15" customHeight="1" hidden="1">
      <c r="A48" s="421"/>
      <c r="B48" s="426" t="s">
        <v>882</v>
      </c>
      <c r="C48" s="389"/>
      <c r="D48" s="425">
        <v>0</v>
      </c>
      <c r="E48" s="425">
        <v>0</v>
      </c>
      <c r="F48" s="297"/>
      <c r="G48" s="298"/>
      <c r="H48" s="299"/>
      <c r="I48" s="301"/>
      <c r="J48" s="216"/>
    </row>
    <row r="49" spans="1:10" ht="15" customHeight="1" hidden="1">
      <c r="A49" s="421"/>
      <c r="B49" s="426" t="s">
        <v>883</v>
      </c>
      <c r="C49" s="389"/>
      <c r="D49" s="425">
        <v>0</v>
      </c>
      <c r="E49" s="425">
        <v>0</v>
      </c>
      <c r="F49" s="297"/>
      <c r="G49" s="298"/>
      <c r="H49" s="299"/>
      <c r="I49" s="301"/>
      <c r="J49" s="216"/>
    </row>
    <row r="50" spans="1:10" ht="15" customHeight="1" hidden="1">
      <c r="A50" s="421"/>
      <c r="B50" s="426" t="s">
        <v>884</v>
      </c>
      <c r="C50" s="389"/>
      <c r="D50" s="425">
        <v>0</v>
      </c>
      <c r="E50" s="425">
        <v>0</v>
      </c>
      <c r="F50" s="297"/>
      <c r="G50" s="298"/>
      <c r="H50" s="299"/>
      <c r="I50" s="301"/>
      <c r="J50" s="216"/>
    </row>
    <row r="51" spans="1:10" ht="15" customHeight="1" hidden="1">
      <c r="A51" s="421"/>
      <c r="B51" s="426" t="s">
        <v>885</v>
      </c>
      <c r="C51" s="389"/>
      <c r="D51" s="425">
        <v>0</v>
      </c>
      <c r="E51" s="425">
        <v>0</v>
      </c>
      <c r="F51" s="297"/>
      <c r="G51" s="298"/>
      <c r="H51" s="299"/>
      <c r="I51" s="301"/>
      <c r="J51" s="216"/>
    </row>
    <row r="52" spans="1:10" ht="15" customHeight="1" hidden="1">
      <c r="A52" s="421"/>
      <c r="B52" s="426" t="s">
        <v>886</v>
      </c>
      <c r="C52" s="389"/>
      <c r="D52" s="425">
        <v>0</v>
      </c>
      <c r="E52" s="425">
        <v>0</v>
      </c>
      <c r="F52" s="297"/>
      <c r="G52" s="298"/>
      <c r="H52" s="299"/>
      <c r="I52" s="301"/>
      <c r="J52" s="216"/>
    </row>
    <row r="53" spans="1:10" ht="15" customHeight="1">
      <c r="A53" s="421"/>
      <c r="B53" s="426" t="s">
        <v>862</v>
      </c>
      <c r="C53" s="389"/>
      <c r="D53" s="441">
        <v>-10025743</v>
      </c>
      <c r="E53" s="441">
        <v>-8191843</v>
      </c>
      <c r="F53" s="297"/>
      <c r="G53" s="307"/>
      <c r="H53" s="300"/>
      <c r="I53" s="301"/>
      <c r="J53" s="216"/>
    </row>
    <row r="54" spans="1:10" ht="15" customHeight="1">
      <c r="A54" s="439" t="s">
        <v>887</v>
      </c>
      <c r="B54" s="421"/>
      <c r="C54" s="421"/>
      <c r="D54" s="414">
        <f>SUM(D42:D53)</f>
        <v>-10025743</v>
      </c>
      <c r="E54" s="414">
        <f>SUM(E42:E53)</f>
        <v>-8191843</v>
      </c>
      <c r="F54" s="306"/>
      <c r="G54" s="298"/>
      <c r="H54" s="299"/>
      <c r="I54" s="301"/>
      <c r="J54" s="216"/>
    </row>
    <row r="55" spans="1:10" ht="15" customHeight="1">
      <c r="A55" s="439"/>
      <c r="B55" s="421"/>
      <c r="C55" s="421"/>
      <c r="D55" s="425"/>
      <c r="E55" s="425"/>
      <c r="F55" s="297"/>
      <c r="G55" s="298"/>
      <c r="H55" s="300"/>
      <c r="I55" s="301"/>
      <c r="J55" s="216"/>
    </row>
    <row r="56" spans="1:11" ht="15" customHeight="1">
      <c r="A56" s="415" t="s">
        <v>888</v>
      </c>
      <c r="B56" s="389"/>
      <c r="C56" s="389"/>
      <c r="D56" s="412">
        <f>SUM(D22,D39,D54)</f>
        <v>87035556.07999998</v>
      </c>
      <c r="E56" s="412">
        <f>+E22+E54</f>
        <v>40126436</v>
      </c>
      <c r="F56" s="302"/>
      <c r="G56" s="290"/>
      <c r="H56" s="291"/>
      <c r="I56" s="303"/>
      <c r="J56" s="292"/>
      <c r="K56" s="260"/>
    </row>
    <row r="57" spans="1:11" ht="15" customHeight="1">
      <c r="A57" s="389" t="s">
        <v>889</v>
      </c>
      <c r="B57" s="389"/>
      <c r="C57" s="389"/>
      <c r="D57" s="417">
        <v>206290775</v>
      </c>
      <c r="E57" s="417">
        <v>166164339</v>
      </c>
      <c r="F57" s="302"/>
      <c r="G57" s="290"/>
      <c r="H57" s="291"/>
      <c r="I57" s="308">
        <v>206290775</v>
      </c>
      <c r="J57" s="292"/>
      <c r="K57" s="260"/>
    </row>
    <row r="58" spans="1:11" ht="15" customHeight="1" thickBot="1">
      <c r="A58" s="408" t="s">
        <v>890</v>
      </c>
      <c r="B58" s="389"/>
      <c r="C58" s="389"/>
      <c r="D58" s="419">
        <f>SUM(D56:D57)</f>
        <v>293326331.08</v>
      </c>
      <c r="E58" s="419">
        <f>SUM(E56:E57)</f>
        <v>206290775</v>
      </c>
      <c r="F58" s="306"/>
      <c r="G58" s="290"/>
      <c r="H58" s="293"/>
      <c r="I58" s="303"/>
      <c r="J58" s="292"/>
      <c r="K58" s="260"/>
    </row>
    <row r="59" spans="1:11" ht="15" customHeight="1" thickTop="1">
      <c r="A59" s="408"/>
      <c r="B59" s="389"/>
      <c r="C59" s="389"/>
      <c r="D59" s="411"/>
      <c r="E59" s="411"/>
      <c r="F59" s="296"/>
      <c r="G59" s="290"/>
      <c r="H59" s="293"/>
      <c r="I59" s="303"/>
      <c r="J59" s="292"/>
      <c r="K59" s="260"/>
    </row>
    <row r="60" spans="1:11" ht="15" customHeight="1">
      <c r="A60" s="489"/>
      <c r="B60" s="489"/>
      <c r="C60" s="489"/>
      <c r="D60" s="489"/>
      <c r="E60" s="489"/>
      <c r="F60" s="489"/>
      <c r="G60" s="489"/>
      <c r="H60" s="293"/>
      <c r="I60" s="303"/>
      <c r="J60" s="292"/>
      <c r="K60" s="260"/>
    </row>
    <row r="61" spans="1:11" ht="15" customHeight="1">
      <c r="A61" s="389"/>
      <c r="B61" s="389"/>
      <c r="C61" s="389"/>
      <c r="D61" s="389"/>
      <c r="E61" s="412"/>
      <c r="F61" s="302"/>
      <c r="G61" s="290"/>
      <c r="H61" s="309"/>
      <c r="I61" s="291"/>
      <c r="J61" s="292"/>
      <c r="K61" s="260"/>
    </row>
    <row r="62" spans="1:11" ht="15">
      <c r="A62" s="428"/>
      <c r="B62" s="266"/>
      <c r="C62" s="266"/>
      <c r="D62" s="259"/>
      <c r="E62" s="261"/>
      <c r="F62" s="309"/>
      <c r="G62" s="290"/>
      <c r="H62" s="291"/>
      <c r="I62" s="291"/>
      <c r="J62" s="292"/>
      <c r="K62" s="260"/>
    </row>
    <row r="63" spans="1:11" ht="15">
      <c r="A63" s="428" t="s">
        <v>928</v>
      </c>
      <c r="B63" s="377"/>
      <c r="C63" s="266"/>
      <c r="D63" s="259"/>
      <c r="E63" s="261"/>
      <c r="F63" s="309"/>
      <c r="G63" s="290"/>
      <c r="H63" s="291"/>
      <c r="I63" s="291"/>
      <c r="J63" s="292"/>
      <c r="K63" s="260"/>
    </row>
    <row r="64" spans="1:11" ht="15">
      <c r="A64" s="489"/>
      <c r="B64" s="489"/>
      <c r="C64" s="489"/>
      <c r="D64" s="489"/>
      <c r="E64" s="489"/>
      <c r="F64" s="489"/>
      <c r="G64" s="489"/>
      <c r="H64" s="291"/>
      <c r="I64" s="291"/>
      <c r="J64" s="292"/>
      <c r="K64" s="260"/>
    </row>
    <row r="65" spans="1:11" ht="15">
      <c r="A65" s="389"/>
      <c r="B65" s="389"/>
      <c r="C65" s="389"/>
      <c r="D65" s="389"/>
      <c r="E65" s="412"/>
      <c r="F65" s="302"/>
      <c r="G65" s="290"/>
      <c r="H65" s="291"/>
      <c r="I65" s="291"/>
      <c r="J65" s="292"/>
      <c r="K65" s="260"/>
    </row>
    <row r="66" spans="1:11" ht="15">
      <c r="A66" s="489" t="s">
        <v>919</v>
      </c>
      <c r="B66" s="489"/>
      <c r="C66" s="489"/>
      <c r="D66" s="489"/>
      <c r="E66" s="489"/>
      <c r="F66" s="489"/>
      <c r="G66" s="489"/>
      <c r="H66" s="291"/>
      <c r="I66" s="291"/>
      <c r="J66" s="292"/>
      <c r="K66" s="260"/>
    </row>
    <row r="67" spans="1:11" ht="15">
      <c r="A67" s="415"/>
      <c r="B67" s="415"/>
      <c r="C67" s="415"/>
      <c r="D67" s="415"/>
      <c r="E67" s="415"/>
      <c r="F67" s="415"/>
      <c r="G67" s="415"/>
      <c r="H67" s="291"/>
      <c r="I67" s="291"/>
      <c r="J67" s="292"/>
      <c r="K67" s="260"/>
    </row>
    <row r="68" spans="1:11" ht="15">
      <c r="A68" s="415"/>
      <c r="B68" s="415"/>
      <c r="C68" s="415"/>
      <c r="D68" s="415"/>
      <c r="E68" s="415"/>
      <c r="F68" s="415"/>
      <c r="G68" s="415"/>
      <c r="H68" s="291"/>
      <c r="I68" s="291"/>
      <c r="J68" s="292"/>
      <c r="K68" s="260"/>
    </row>
    <row r="69" spans="1:11" ht="15">
      <c r="A69" s="415"/>
      <c r="B69" s="415"/>
      <c r="C69" s="415"/>
      <c r="D69" s="415"/>
      <c r="E69" s="415"/>
      <c r="F69" s="415"/>
      <c r="G69" s="415"/>
      <c r="H69" s="291"/>
      <c r="I69" s="291"/>
      <c r="J69" s="292"/>
      <c r="K69" s="260"/>
    </row>
    <row r="70" spans="1:11" ht="15">
      <c r="A70" s="259"/>
      <c r="B70" s="266"/>
      <c r="C70" s="266"/>
      <c r="D70" s="259"/>
      <c r="E70" s="261"/>
      <c r="F70" s="309"/>
      <c r="G70" s="290"/>
      <c r="H70" s="291"/>
      <c r="I70" s="291"/>
      <c r="J70" s="292"/>
      <c r="K70" s="260"/>
    </row>
    <row r="71" spans="1:11" ht="15">
      <c r="A71" s="259"/>
      <c r="B71" s="259"/>
      <c r="C71" s="259"/>
      <c r="D71" s="259"/>
      <c r="E71" s="261"/>
      <c r="F71" s="309"/>
      <c r="G71" s="290"/>
      <c r="H71" s="291"/>
      <c r="I71" s="291"/>
      <c r="J71" s="292"/>
      <c r="K71" s="260"/>
    </row>
    <row r="72" spans="1:11" ht="15">
      <c r="A72" s="259"/>
      <c r="B72" s="259"/>
      <c r="C72" s="259"/>
      <c r="D72" s="261"/>
      <c r="E72" s="261"/>
      <c r="F72" s="309"/>
      <c r="G72" s="290"/>
      <c r="H72" s="291"/>
      <c r="I72" s="291"/>
      <c r="J72" s="292"/>
      <c r="K72" s="260"/>
    </row>
    <row r="73" spans="1:11" ht="15">
      <c r="A73" s="259"/>
      <c r="B73" s="259"/>
      <c r="C73" s="259"/>
      <c r="D73" s="261"/>
      <c r="E73" s="310"/>
      <c r="F73" s="311"/>
      <c r="G73" s="290"/>
      <c r="H73" s="291"/>
      <c r="I73" s="291"/>
      <c r="J73" s="292"/>
      <c r="K73" s="260"/>
    </row>
    <row r="74" spans="1:11" ht="15">
      <c r="A74" s="259"/>
      <c r="B74" s="279" t="s">
        <v>891</v>
      </c>
      <c r="C74" s="259"/>
      <c r="D74" s="261"/>
      <c r="E74" s="259"/>
      <c r="F74" s="290"/>
      <c r="G74" s="290"/>
      <c r="H74" s="291"/>
      <c r="I74" s="291"/>
      <c r="J74" s="292"/>
      <c r="K74" s="260"/>
    </row>
    <row r="75" spans="1:11" ht="15">
      <c r="A75" s="259"/>
      <c r="B75" s="279"/>
      <c r="C75" s="259"/>
      <c r="D75" s="261"/>
      <c r="E75" s="259"/>
      <c r="F75" s="290"/>
      <c r="G75" s="290"/>
      <c r="H75" s="291"/>
      <c r="I75" s="291"/>
      <c r="J75" s="292"/>
      <c r="K75" s="260"/>
    </row>
    <row r="76" spans="1:11" ht="15">
      <c r="A76" s="259"/>
      <c r="B76" s="279"/>
      <c r="C76" s="259"/>
      <c r="D76" s="261"/>
      <c r="E76" s="259"/>
      <c r="F76" s="290"/>
      <c r="G76" s="290"/>
      <c r="H76" s="291"/>
      <c r="I76" s="291"/>
      <c r="J76" s="292"/>
      <c r="K76" s="260"/>
    </row>
    <row r="77" spans="1:11" ht="15">
      <c r="A77" s="259"/>
      <c r="B77" s="279"/>
      <c r="C77" s="259"/>
      <c r="D77" s="261"/>
      <c r="E77" s="259"/>
      <c r="F77" s="290"/>
      <c r="G77" s="290"/>
      <c r="H77" s="291"/>
      <c r="I77" s="291"/>
      <c r="J77" s="292"/>
      <c r="K77" s="260"/>
    </row>
    <row r="78" spans="1:11" ht="15">
      <c r="A78" s="2"/>
      <c r="B78" s="2"/>
      <c r="C78" s="2"/>
      <c r="D78" s="2"/>
      <c r="E78" s="2"/>
      <c r="F78" s="2"/>
      <c r="G78" s="2"/>
      <c r="H78" s="2"/>
      <c r="I78" s="1"/>
      <c r="J78" s="312"/>
      <c r="K78" s="1"/>
    </row>
    <row r="79" spans="1:11" ht="15">
      <c r="A79" s="2"/>
      <c r="B79" s="2"/>
      <c r="C79" s="2"/>
      <c r="D79" s="2"/>
      <c r="E79" s="2"/>
      <c r="F79" s="2"/>
      <c r="G79" s="2"/>
      <c r="H79" s="2"/>
      <c r="I79" s="1"/>
      <c r="J79" s="312"/>
      <c r="K79" s="1"/>
    </row>
    <row r="80" spans="1:11" ht="15">
      <c r="A80" s="2"/>
      <c r="B80" s="2"/>
      <c r="C80" s="2"/>
      <c r="D80" s="2"/>
      <c r="E80" s="2"/>
      <c r="F80" s="2"/>
      <c r="G80" s="2"/>
      <c r="H80" s="2"/>
      <c r="I80" s="1"/>
      <c r="J80" s="312"/>
      <c r="K80" s="1"/>
    </row>
    <row r="81" spans="1:11" ht="15">
      <c r="A81" s="490"/>
      <c r="B81" s="490"/>
      <c r="C81" s="490"/>
      <c r="D81" s="490"/>
      <c r="E81" s="490"/>
      <c r="F81" s="490"/>
      <c r="G81" s="490"/>
      <c r="H81" s="490"/>
      <c r="I81" s="490"/>
      <c r="J81" s="490"/>
      <c r="K81" s="490"/>
    </row>
    <row r="82" spans="1:11" ht="18.75">
      <c r="A82" s="313" t="s">
        <v>892</v>
      </c>
      <c r="B82" s="313"/>
      <c r="C82" s="313"/>
      <c r="D82" s="313" t="s">
        <v>893</v>
      </c>
      <c r="E82" s="313"/>
      <c r="F82" s="313"/>
      <c r="G82" s="313"/>
      <c r="H82" s="313"/>
      <c r="I82" s="313"/>
      <c r="J82" s="314"/>
      <c r="K82" s="313"/>
    </row>
  </sheetData>
  <sheetProtection/>
  <mergeCells count="8">
    <mergeCell ref="A1:E1"/>
    <mergeCell ref="A2:E2"/>
    <mergeCell ref="A3:E3"/>
    <mergeCell ref="A4:E4"/>
    <mergeCell ref="A81:K81"/>
    <mergeCell ref="A60:G60"/>
    <mergeCell ref="A64:G64"/>
    <mergeCell ref="A66:G66"/>
  </mergeCells>
  <printOptions/>
  <pageMargins left="2.09" right="0.7086614173228347" top="0.7480314960629921" bottom="0.7480314960629921" header="0.31496062992125984" footer="0.31496062992125984"/>
  <pageSetup horizontalDpi="600" verticalDpi="600" orientation="landscape" scale="65" r:id="rId2"/>
  <colBreaks count="1" manualBreakCount="1">
    <brk id="6" max="65535" man="1"/>
  </colBreaks>
  <ignoredErrors>
    <ignoredError sqref="E22" formulaRange="1"/>
  </ignoredErrors>
  <drawing r:id="rId1"/>
</worksheet>
</file>

<file path=xl/worksheets/sheet5.xml><?xml version="1.0" encoding="utf-8"?>
<worksheet xmlns="http://schemas.openxmlformats.org/spreadsheetml/2006/main" xmlns:r="http://schemas.openxmlformats.org/officeDocument/2006/relationships">
  <dimension ref="A1:H44"/>
  <sheetViews>
    <sheetView zoomScalePageLayoutView="0" workbookViewId="0" topLeftCell="A1">
      <selection activeCell="A3" sqref="A3:F3"/>
    </sheetView>
  </sheetViews>
  <sheetFormatPr defaultColWidth="11.421875" defaultRowHeight="15"/>
  <cols>
    <col min="1" max="1" width="3.57421875" style="5" bestFit="1" customWidth="1"/>
    <col min="2" max="2" width="38.57421875" style="5" customWidth="1"/>
    <col min="3" max="3" width="19.57421875" style="5" customWidth="1"/>
    <col min="4" max="4" width="19.00390625" style="5" customWidth="1"/>
    <col min="5" max="5" width="22.421875" style="5" customWidth="1"/>
    <col min="6" max="6" width="17.7109375" style="5" customWidth="1"/>
    <col min="7" max="7" width="11.421875" style="5" customWidth="1"/>
    <col min="8" max="8" width="17.00390625" style="5" customWidth="1"/>
    <col min="9" max="16384" width="11.421875" style="5" customWidth="1"/>
  </cols>
  <sheetData>
    <row r="1" spans="1:8" ht="15">
      <c r="A1" s="491" t="s">
        <v>814</v>
      </c>
      <c r="B1" s="491"/>
      <c r="C1" s="491"/>
      <c r="D1" s="491"/>
      <c r="E1" s="491"/>
      <c r="F1" s="491"/>
      <c r="G1" s="283"/>
      <c r="H1" s="283"/>
    </row>
    <row r="2" spans="1:8" ht="15">
      <c r="A2" s="491" t="s">
        <v>815</v>
      </c>
      <c r="B2" s="491"/>
      <c r="C2" s="491"/>
      <c r="D2" s="491"/>
      <c r="E2" s="491"/>
      <c r="F2" s="491"/>
      <c r="G2" s="283"/>
      <c r="H2" s="283"/>
    </row>
    <row r="3" spans="1:8" ht="15">
      <c r="A3" s="491" t="s">
        <v>816</v>
      </c>
      <c r="B3" s="491"/>
      <c r="C3" s="491"/>
      <c r="D3" s="491"/>
      <c r="E3" s="491"/>
      <c r="F3" s="491"/>
      <c r="G3" s="283"/>
      <c r="H3" s="283"/>
    </row>
    <row r="4" spans="1:8" ht="15">
      <c r="A4" s="492" t="s">
        <v>817</v>
      </c>
      <c r="B4" s="492"/>
      <c r="C4" s="492"/>
      <c r="D4" s="492"/>
      <c r="E4" s="492"/>
      <c r="F4" s="492"/>
      <c r="G4" s="284"/>
      <c r="H4" s="284"/>
    </row>
    <row r="5" spans="1:8" ht="15">
      <c r="A5" s="492"/>
      <c r="B5" s="492"/>
      <c r="C5" s="492"/>
      <c r="D5" s="492"/>
      <c r="E5" s="492"/>
      <c r="F5" s="492"/>
      <c r="G5" s="284"/>
      <c r="H5" s="284"/>
    </row>
    <row r="6" spans="1:6" ht="28.5">
      <c r="A6" s="493" t="s">
        <v>818</v>
      </c>
      <c r="B6" s="493"/>
      <c r="C6" s="442" t="s">
        <v>819</v>
      </c>
      <c r="D6" s="442" t="s">
        <v>820</v>
      </c>
      <c r="E6" s="442" t="s">
        <v>821</v>
      </c>
      <c r="F6" s="442" t="s">
        <v>822</v>
      </c>
    </row>
    <row r="7" spans="1:6" ht="15">
      <c r="A7" s="443">
        <v>1</v>
      </c>
      <c r="B7" s="444" t="s">
        <v>823</v>
      </c>
      <c r="C7" s="445">
        <f>SUM(C8:C16)</f>
        <v>527855900.53000003</v>
      </c>
      <c r="D7" s="445">
        <f>SUM(D8:D16)</f>
        <v>434317473.75</v>
      </c>
      <c r="E7" s="446">
        <f>+D7/C7</f>
        <v>0.8227955267979734</v>
      </c>
      <c r="F7" s="445">
        <f>SUM(F8:F16)</f>
        <v>93538426.78</v>
      </c>
    </row>
    <row r="8" spans="1:6" ht="15">
      <c r="A8" s="447">
        <v>1.1</v>
      </c>
      <c r="B8" s="448" t="s">
        <v>824</v>
      </c>
      <c r="C8" s="449">
        <v>0</v>
      </c>
      <c r="D8" s="449">
        <v>0</v>
      </c>
      <c r="E8" s="449"/>
      <c r="F8" s="449">
        <f aca="true" t="shared" si="0" ref="F8:F16">+C8-D8</f>
        <v>0</v>
      </c>
    </row>
    <row r="9" spans="1:6" ht="15">
      <c r="A9" s="447">
        <v>1.2</v>
      </c>
      <c r="B9" s="448" t="s">
        <v>825</v>
      </c>
      <c r="C9" s="449">
        <v>0</v>
      </c>
      <c r="D9" s="449">
        <v>0</v>
      </c>
      <c r="E9" s="449"/>
      <c r="F9" s="449">
        <f t="shared" si="0"/>
        <v>0</v>
      </c>
    </row>
    <row r="10" spans="1:6" ht="15">
      <c r="A10" s="447">
        <v>1.3</v>
      </c>
      <c r="B10" s="448" t="s">
        <v>826</v>
      </c>
      <c r="C10" s="449">
        <v>0</v>
      </c>
      <c r="D10" s="449">
        <v>0</v>
      </c>
      <c r="E10" s="449"/>
      <c r="F10" s="449">
        <f t="shared" si="0"/>
        <v>0</v>
      </c>
    </row>
    <row r="11" spans="1:6" ht="15">
      <c r="A11" s="447">
        <v>1.4</v>
      </c>
      <c r="B11" s="448" t="s">
        <v>827</v>
      </c>
      <c r="C11" s="449">
        <v>64422589</v>
      </c>
      <c r="D11" s="449">
        <v>60217475.71</v>
      </c>
      <c r="E11" s="450">
        <f>+D11/C11</f>
        <v>0.9347261053106698</v>
      </c>
      <c r="F11" s="449">
        <f t="shared" si="0"/>
        <v>4205113.289999999</v>
      </c>
    </row>
    <row r="12" spans="1:6" ht="15">
      <c r="A12" s="447">
        <v>1.5</v>
      </c>
      <c r="B12" s="448" t="s">
        <v>828</v>
      </c>
      <c r="C12" s="449">
        <v>462790022.1</v>
      </c>
      <c r="D12" s="449">
        <v>374099998.04</v>
      </c>
      <c r="E12" s="450">
        <f>+D12/C12</f>
        <v>0.808357959712373</v>
      </c>
      <c r="F12" s="449">
        <f t="shared" si="0"/>
        <v>88690024.06</v>
      </c>
    </row>
    <row r="13" spans="1:6" ht="15">
      <c r="A13" s="447">
        <v>1.6</v>
      </c>
      <c r="B13" s="448" t="s">
        <v>829</v>
      </c>
      <c r="C13" s="449">
        <v>643289.43</v>
      </c>
      <c r="D13" s="449">
        <v>0</v>
      </c>
      <c r="E13" s="450"/>
      <c r="F13" s="449">
        <f t="shared" si="0"/>
        <v>643289.43</v>
      </c>
    </row>
    <row r="14" spans="1:6" ht="15">
      <c r="A14" s="447">
        <v>1.7</v>
      </c>
      <c r="B14" s="448" t="s">
        <v>830</v>
      </c>
      <c r="C14" s="449">
        <v>0</v>
      </c>
      <c r="D14" s="449">
        <v>0</v>
      </c>
      <c r="E14" s="450"/>
      <c r="F14" s="449">
        <f t="shared" si="0"/>
        <v>0</v>
      </c>
    </row>
    <row r="15" spans="1:6" ht="30">
      <c r="A15" s="447">
        <v>1.8</v>
      </c>
      <c r="B15" s="448" t="s">
        <v>831</v>
      </c>
      <c r="C15" s="449">
        <v>0</v>
      </c>
      <c r="D15" s="449">
        <v>0</v>
      </c>
      <c r="E15" s="450"/>
      <c r="F15" s="449">
        <f t="shared" si="0"/>
        <v>0</v>
      </c>
    </row>
    <row r="16" spans="1:6" ht="15">
      <c r="A16" s="447">
        <v>1.9</v>
      </c>
      <c r="B16" s="448" t="s">
        <v>832</v>
      </c>
      <c r="C16" s="449">
        <v>0</v>
      </c>
      <c r="D16" s="449">
        <v>0</v>
      </c>
      <c r="E16" s="450"/>
      <c r="F16" s="449">
        <f t="shared" si="0"/>
        <v>0</v>
      </c>
    </row>
    <row r="17" spans="1:6" ht="15">
      <c r="A17" s="443">
        <v>2</v>
      </c>
      <c r="B17" s="444" t="s">
        <v>833</v>
      </c>
      <c r="C17" s="445">
        <f>SUM(C18:C26)</f>
        <v>529106928</v>
      </c>
      <c r="D17" s="445">
        <f>SUM(D18:D26)</f>
        <v>374099998.04</v>
      </c>
      <c r="E17" s="446">
        <f>+D17/C17</f>
        <v>0.7070404454050165</v>
      </c>
      <c r="F17" s="445">
        <f>SUM(F18:F26)</f>
        <v>155006929.95999998</v>
      </c>
    </row>
    <row r="18" spans="1:6" ht="15">
      <c r="A18" s="447">
        <v>2.1</v>
      </c>
      <c r="B18" s="448" t="s">
        <v>834</v>
      </c>
      <c r="C18" s="449">
        <v>350822601</v>
      </c>
      <c r="D18" s="449">
        <v>288799206.54</v>
      </c>
      <c r="E18" s="450">
        <f aca="true" t="shared" si="1" ref="E18:E24">+D18/C18</f>
        <v>0.823205818886224</v>
      </c>
      <c r="F18" s="449">
        <f>+C18-D18</f>
        <v>62023394.45999998</v>
      </c>
    </row>
    <row r="19" spans="1:6" ht="15">
      <c r="A19" s="447">
        <v>2.2</v>
      </c>
      <c r="B19" s="448" t="s">
        <v>835</v>
      </c>
      <c r="C19" s="449">
        <v>72531268</v>
      </c>
      <c r="D19" s="449">
        <v>61172497.52</v>
      </c>
      <c r="E19" s="450">
        <f t="shared" si="1"/>
        <v>0.843394844827475</v>
      </c>
      <c r="F19" s="449">
        <f aca="true" t="shared" si="2" ref="F19:F26">+C19-D19</f>
        <v>11358770.479999997</v>
      </c>
    </row>
    <row r="20" spans="1:6" ht="15">
      <c r="A20" s="447">
        <v>2.3</v>
      </c>
      <c r="B20" s="448" t="s">
        <v>836</v>
      </c>
      <c r="C20" s="449">
        <v>22353059</v>
      </c>
      <c r="D20" s="449">
        <v>13145754.76</v>
      </c>
      <c r="E20" s="450">
        <f t="shared" si="1"/>
        <v>0.588096455165264</v>
      </c>
      <c r="F20" s="449">
        <f t="shared" si="2"/>
        <v>9207304.24</v>
      </c>
    </row>
    <row r="21" spans="1:6" ht="15">
      <c r="A21" s="447">
        <v>2.4</v>
      </c>
      <c r="B21" s="448" t="s">
        <v>837</v>
      </c>
      <c r="C21" s="449">
        <v>3800000</v>
      </c>
      <c r="D21" s="449">
        <v>1031103.75</v>
      </c>
      <c r="E21" s="450">
        <f t="shared" si="1"/>
        <v>0.27134309210526314</v>
      </c>
      <c r="F21" s="449">
        <f t="shared" si="2"/>
        <v>2768896.25</v>
      </c>
    </row>
    <row r="22" spans="1:6" ht="15">
      <c r="A22" s="447">
        <v>2.5</v>
      </c>
      <c r="B22" s="448" t="s">
        <v>838</v>
      </c>
      <c r="C22" s="449">
        <v>0</v>
      </c>
      <c r="D22" s="449">
        <v>0</v>
      </c>
      <c r="E22" s="450"/>
      <c r="F22" s="449">
        <f t="shared" si="2"/>
        <v>0</v>
      </c>
    </row>
    <row r="23" spans="1:6" ht="30">
      <c r="A23" s="447">
        <v>2.6</v>
      </c>
      <c r="B23" s="448" t="s">
        <v>839</v>
      </c>
      <c r="C23" s="449">
        <v>25600000</v>
      </c>
      <c r="D23" s="449">
        <v>9951435.47</v>
      </c>
      <c r="E23" s="450">
        <f>+D23/C23</f>
        <v>0.38872794804687505</v>
      </c>
      <c r="F23" s="449">
        <f t="shared" si="2"/>
        <v>15648564.53</v>
      </c>
    </row>
    <row r="24" spans="1:6" ht="15">
      <c r="A24" s="447">
        <v>2.7</v>
      </c>
      <c r="B24" s="448" t="s">
        <v>840</v>
      </c>
      <c r="C24" s="449">
        <v>54000000</v>
      </c>
      <c r="D24" s="449"/>
      <c r="E24" s="450">
        <f t="shared" si="1"/>
        <v>0</v>
      </c>
      <c r="F24" s="449">
        <f t="shared" si="2"/>
        <v>54000000</v>
      </c>
    </row>
    <row r="25" spans="1:6" ht="30">
      <c r="A25" s="447">
        <v>2.8</v>
      </c>
      <c r="B25" s="448" t="s">
        <v>841</v>
      </c>
      <c r="C25" s="449">
        <v>0</v>
      </c>
      <c r="D25" s="449">
        <v>0</v>
      </c>
      <c r="E25" s="450"/>
      <c r="F25" s="449">
        <f t="shared" si="2"/>
        <v>0</v>
      </c>
    </row>
    <row r="26" spans="1:6" ht="15">
      <c r="A26" s="447">
        <v>2.9</v>
      </c>
      <c r="B26" s="448" t="s">
        <v>842</v>
      </c>
      <c r="C26" s="451"/>
      <c r="D26" s="451">
        <v>0</v>
      </c>
      <c r="E26" s="452"/>
      <c r="F26" s="451">
        <f t="shared" si="2"/>
        <v>0</v>
      </c>
    </row>
    <row r="27" spans="1:6" ht="16.5" thickBot="1">
      <c r="A27" s="285"/>
      <c r="B27" s="456" t="s">
        <v>927</v>
      </c>
      <c r="C27" s="453">
        <f>+C7-C17</f>
        <v>-1251027.469999969</v>
      </c>
      <c r="D27" s="454">
        <f>+D7-D17</f>
        <v>60217475.70999998</v>
      </c>
      <c r="E27" s="455">
        <f>+E7-E17</f>
        <v>0.11575508139295687</v>
      </c>
      <c r="F27" s="453">
        <f>+F7-F17</f>
        <v>-61468503.17999998</v>
      </c>
    </row>
    <row r="28" spans="1:6" ht="16.5" thickTop="1">
      <c r="A28" s="285"/>
      <c r="B28" s="286"/>
      <c r="C28" s="287"/>
      <c r="D28" s="287"/>
      <c r="E28" s="288"/>
      <c r="F28" s="287"/>
    </row>
    <row r="29" spans="1:6" ht="31.5">
      <c r="A29" s="285"/>
      <c r="B29" s="286" t="s">
        <v>843</v>
      </c>
      <c r="C29" s="287"/>
      <c r="D29" s="287"/>
      <c r="E29" s="288"/>
      <c r="F29" s="287"/>
    </row>
    <row r="30" spans="1:6" ht="30">
      <c r="A30" s="447" t="s">
        <v>844</v>
      </c>
      <c r="B30" s="448" t="s">
        <v>845</v>
      </c>
      <c r="C30" s="449">
        <v>1000000</v>
      </c>
      <c r="D30" s="9"/>
      <c r="E30" s="9"/>
      <c r="F30" s="9"/>
    </row>
    <row r="31" ht="15"/>
    <row r="32" ht="15"/>
    <row r="34" spans="1:5" ht="15">
      <c r="A34" s="259"/>
      <c r="B34" s="259"/>
      <c r="C34" s="259"/>
      <c r="D34" s="267"/>
      <c r="E34" s="267"/>
    </row>
    <row r="35" spans="1:5" ht="15">
      <c r="A35" s="259"/>
      <c r="B35" s="259"/>
      <c r="C35" s="259"/>
      <c r="D35" s="259"/>
      <c r="E35" s="259"/>
    </row>
    <row r="36" spans="1:5" ht="15">
      <c r="A36" s="259"/>
      <c r="B36" s="259" t="s">
        <v>896</v>
      </c>
      <c r="C36" s="259"/>
      <c r="D36" s="267"/>
      <c r="E36" s="259"/>
    </row>
    <row r="37" spans="1:5" ht="15">
      <c r="A37" s="259"/>
      <c r="B37" s="259"/>
      <c r="C37" s="259"/>
      <c r="D37" s="267"/>
      <c r="E37" s="259"/>
    </row>
    <row r="38" spans="1:5" ht="15">
      <c r="A38" s="259"/>
      <c r="B38" s="259"/>
      <c r="C38" s="259"/>
      <c r="D38" s="267"/>
      <c r="E38" s="259"/>
    </row>
    <row r="39" spans="1:5" ht="15">
      <c r="A39" s="259"/>
      <c r="B39" s="259"/>
      <c r="C39" s="259"/>
      <c r="D39" s="259"/>
      <c r="E39" s="259"/>
    </row>
    <row r="40" spans="1:5" ht="15">
      <c r="A40" s="259"/>
      <c r="B40" s="279" t="s">
        <v>847</v>
      </c>
      <c r="C40" s="259"/>
      <c r="D40" s="280" t="s">
        <v>846</v>
      </c>
      <c r="E40" s="259"/>
    </row>
    <row r="41" spans="1:5" ht="15">
      <c r="A41" s="259"/>
      <c r="B41" s="259"/>
      <c r="C41" s="259"/>
      <c r="D41" s="259"/>
      <c r="E41" s="259"/>
    </row>
    <row r="42" spans="1:5" ht="18.75">
      <c r="A42" s="82" t="s">
        <v>642</v>
      </c>
      <c r="C42" s="259"/>
      <c r="E42" s="259"/>
    </row>
    <row r="43" spans="1:5" ht="15">
      <c r="A43" s="259"/>
      <c r="B43" s="259"/>
      <c r="C43" s="259"/>
      <c r="D43" s="259"/>
      <c r="E43" s="259"/>
    </row>
    <row r="44" spans="1:5" ht="15">
      <c r="A44" s="259"/>
      <c r="B44" s="259"/>
      <c r="C44" s="259"/>
      <c r="D44" s="259"/>
      <c r="E44" s="259"/>
    </row>
  </sheetData>
  <sheetProtection/>
  <mergeCells count="6">
    <mergeCell ref="A1:F1"/>
    <mergeCell ref="A2:F2"/>
    <mergeCell ref="A3:F3"/>
    <mergeCell ref="A4:F4"/>
    <mergeCell ref="A5:F5"/>
    <mergeCell ref="A6:B6"/>
  </mergeCells>
  <printOptions/>
  <pageMargins left="0.99" right="0.7" top="0.75" bottom="0.75" header="0.3" footer="0.3"/>
  <pageSetup horizontalDpi="600" verticalDpi="600" orientation="portrait" scale="71" r:id="rId4"/>
  <drawing r:id="rId3"/>
  <legacyDrawing r:id="rId2"/>
</worksheet>
</file>

<file path=xl/worksheets/sheet6.xml><?xml version="1.0" encoding="utf-8"?>
<worksheet xmlns="http://schemas.openxmlformats.org/spreadsheetml/2006/main" xmlns:r="http://schemas.openxmlformats.org/officeDocument/2006/relationships">
  <dimension ref="A5:AE686"/>
  <sheetViews>
    <sheetView zoomScale="89" zoomScaleNormal="89" zoomScalePageLayoutView="0" workbookViewId="0" topLeftCell="A157">
      <selection activeCell="O202" sqref="O202"/>
    </sheetView>
  </sheetViews>
  <sheetFormatPr defaultColWidth="9.140625" defaultRowHeight="15"/>
  <cols>
    <col min="1" max="1" width="9.140625" style="4" customWidth="1"/>
    <col min="2" max="2" width="16.7109375" style="4" customWidth="1"/>
    <col min="3" max="3" width="3.28125" style="4" customWidth="1"/>
    <col min="4" max="4" width="2.57421875" style="4" customWidth="1"/>
    <col min="5" max="5" width="43.00390625" style="4" customWidth="1"/>
    <col min="6" max="6" width="0.71875" style="4" customWidth="1"/>
    <col min="7" max="7" width="18.421875" style="4" hidden="1" customWidth="1"/>
    <col min="8" max="8" width="23.57421875" style="4" hidden="1" customWidth="1"/>
    <col min="9" max="9" width="17.8515625" style="4" hidden="1" customWidth="1"/>
    <col min="10" max="10" width="17.7109375" style="4" hidden="1" customWidth="1"/>
    <col min="11" max="11" width="13.8515625" style="4" hidden="1" customWidth="1"/>
    <col min="12" max="12" width="14.7109375" style="4" hidden="1" customWidth="1"/>
    <col min="13" max="13" width="10.421875" style="4" hidden="1" customWidth="1"/>
    <col min="14" max="14" width="1.7109375" style="4" customWidth="1"/>
    <col min="15" max="15" width="24.421875" style="176" customWidth="1"/>
    <col min="16" max="16" width="24.421875" style="4" customWidth="1"/>
    <col min="17" max="17" width="23.8515625" style="4" hidden="1" customWidth="1"/>
    <col min="18" max="19" width="17.421875" style="133" hidden="1" customWidth="1"/>
    <col min="20" max="20" width="22.7109375" style="133" hidden="1" customWidth="1"/>
    <col min="21" max="21" width="21.8515625" style="133" hidden="1" customWidth="1"/>
    <col min="22" max="22" width="15.28125" style="133" hidden="1" customWidth="1"/>
    <col min="23" max="23" width="9.7109375" style="133" hidden="1" customWidth="1"/>
    <col min="24" max="24" width="21.8515625" style="133" hidden="1" customWidth="1"/>
    <col min="25" max="26" width="14.00390625" style="133" hidden="1" customWidth="1"/>
    <col min="27" max="27" width="10.7109375" style="133" hidden="1" customWidth="1"/>
    <col min="28" max="29" width="13.28125" style="133" hidden="1" customWidth="1"/>
    <col min="30" max="30" width="14.28125" style="133" hidden="1" customWidth="1"/>
    <col min="31" max="31" width="12.57421875" style="133" hidden="1" customWidth="1"/>
    <col min="32" max="35" width="0" style="4" hidden="1" customWidth="1"/>
    <col min="36" max="16384" width="9.140625" style="4" customWidth="1"/>
  </cols>
  <sheetData>
    <row r="1" ht="13.5" customHeight="1"/>
    <row r="2" ht="13.5" customHeight="1"/>
    <row r="3" ht="13.5" customHeight="1"/>
    <row r="4" ht="13.5" customHeight="1"/>
    <row r="5" spans="2:12" ht="26.25">
      <c r="B5" s="115"/>
      <c r="C5" s="115"/>
      <c r="D5" s="115"/>
      <c r="E5" s="115"/>
      <c r="F5" s="115"/>
      <c r="G5" s="115"/>
      <c r="H5" s="115"/>
      <c r="I5" s="115"/>
      <c r="J5" s="115"/>
      <c r="K5" s="116"/>
      <c r="L5" s="116"/>
    </row>
    <row r="6" spans="1:18" ht="26.25">
      <c r="A6" s="496" t="s">
        <v>664</v>
      </c>
      <c r="B6" s="496"/>
      <c r="C6" s="496"/>
      <c r="D6" s="496"/>
      <c r="E6" s="496"/>
      <c r="F6" s="496"/>
      <c r="G6" s="496"/>
      <c r="H6" s="496"/>
      <c r="I6" s="496"/>
      <c r="J6" s="496"/>
      <c r="K6" s="496"/>
      <c r="L6" s="496"/>
      <c r="M6" s="496"/>
      <c r="N6" s="496"/>
      <c r="O6" s="496"/>
      <c r="P6" s="496"/>
      <c r="Q6" s="496"/>
      <c r="R6" s="496"/>
    </row>
    <row r="7" spans="1:18" ht="26.25">
      <c r="A7" s="496" t="s">
        <v>709</v>
      </c>
      <c r="B7" s="496"/>
      <c r="C7" s="496"/>
      <c r="D7" s="496"/>
      <c r="E7" s="496"/>
      <c r="F7" s="496"/>
      <c r="G7" s="496"/>
      <c r="H7" s="496"/>
      <c r="I7" s="496"/>
      <c r="J7" s="496"/>
      <c r="K7" s="496"/>
      <c r="L7" s="496"/>
      <c r="M7" s="496"/>
      <c r="N7" s="496"/>
      <c r="O7" s="496"/>
      <c r="P7" s="496"/>
      <c r="Q7" s="496"/>
      <c r="R7" s="496"/>
    </row>
    <row r="8" spans="2:10" ht="15">
      <c r="B8" s="13"/>
      <c r="C8" s="13"/>
      <c r="D8" s="13"/>
      <c r="E8" s="13"/>
      <c r="F8" s="13"/>
      <c r="G8" s="13"/>
      <c r="H8" s="13"/>
      <c r="I8" s="13"/>
      <c r="J8" s="13"/>
    </row>
    <row r="9" spans="2:10" ht="15">
      <c r="B9" s="13"/>
      <c r="C9" s="13"/>
      <c r="D9" s="13"/>
      <c r="E9" s="13"/>
      <c r="F9" s="13"/>
      <c r="G9" s="13"/>
      <c r="H9" s="13"/>
      <c r="I9" s="13"/>
      <c r="J9" s="13"/>
    </row>
    <row r="10" spans="2:16" ht="15">
      <c r="B10" s="13"/>
      <c r="C10" s="13"/>
      <c r="D10" s="13"/>
      <c r="E10" s="13"/>
      <c r="F10" s="13"/>
      <c r="G10" s="13"/>
      <c r="H10" s="13"/>
      <c r="I10" s="13"/>
      <c r="J10" s="13"/>
      <c r="O10" s="494" t="s">
        <v>665</v>
      </c>
      <c r="P10" s="494"/>
    </row>
    <row r="11" spans="2:24" ht="18.75">
      <c r="B11" s="117" t="s">
        <v>567</v>
      </c>
      <c r="C11" s="13"/>
      <c r="D11" s="13"/>
      <c r="E11" s="13"/>
      <c r="F11" s="13"/>
      <c r="G11" s="23">
        <v>2015</v>
      </c>
      <c r="H11" s="13"/>
      <c r="I11" s="13"/>
      <c r="J11" s="13"/>
      <c r="O11" s="118">
        <v>2021</v>
      </c>
      <c r="P11" s="118">
        <v>2020</v>
      </c>
      <c r="Q11" s="118">
        <v>2019</v>
      </c>
      <c r="S11" s="317">
        <v>2018</v>
      </c>
      <c r="U11" s="317">
        <v>2017</v>
      </c>
      <c r="V11" s="317"/>
      <c r="W11" s="317"/>
      <c r="X11" s="317">
        <v>2016</v>
      </c>
    </row>
    <row r="12" spans="2:10" ht="20.25">
      <c r="B12" s="208" t="s">
        <v>85</v>
      </c>
      <c r="C12" s="13"/>
      <c r="D12" s="13"/>
      <c r="E12" s="13"/>
      <c r="F12" s="13"/>
      <c r="G12" s="13"/>
      <c r="H12" s="13"/>
      <c r="I12" s="13"/>
      <c r="J12" s="13"/>
    </row>
    <row r="13" spans="2:10" ht="15">
      <c r="B13" s="13" t="s">
        <v>86</v>
      </c>
      <c r="C13" s="13"/>
      <c r="D13" s="13"/>
      <c r="E13" s="13"/>
      <c r="F13" s="13"/>
      <c r="G13" s="13"/>
      <c r="H13" s="13"/>
      <c r="I13" s="13"/>
      <c r="J13" s="13"/>
    </row>
    <row r="14" spans="2:10" ht="18.75">
      <c r="B14" s="117" t="s">
        <v>87</v>
      </c>
      <c r="C14" s="13"/>
      <c r="D14" s="13"/>
      <c r="E14" s="13"/>
      <c r="F14" s="13"/>
      <c r="G14" s="13"/>
      <c r="H14" s="13"/>
      <c r="I14" s="13"/>
      <c r="J14" s="13"/>
    </row>
    <row r="15" spans="1:25" ht="15.75">
      <c r="A15" s="119"/>
      <c r="B15" s="65" t="s">
        <v>88</v>
      </c>
      <c r="C15" s="65"/>
      <c r="D15" s="65"/>
      <c r="E15" s="65"/>
      <c r="F15" s="65"/>
      <c r="G15" s="65"/>
      <c r="H15" s="66">
        <v>424792.74</v>
      </c>
      <c r="I15" s="66"/>
      <c r="J15" s="66"/>
      <c r="K15" s="120"/>
      <c r="L15" s="120"/>
      <c r="M15" s="120"/>
      <c r="N15" s="120"/>
      <c r="O15" s="121">
        <v>0</v>
      </c>
      <c r="P15" s="121">
        <v>0</v>
      </c>
      <c r="Q15" s="121">
        <v>0</v>
      </c>
      <c r="R15" s="123"/>
      <c r="S15" s="123"/>
      <c r="T15" s="122">
        <v>0</v>
      </c>
      <c r="U15" s="123"/>
      <c r="V15" s="122">
        <v>782620</v>
      </c>
      <c r="W15" s="122"/>
      <c r="X15" s="122"/>
      <c r="Y15" s="122">
        <v>204917.81</v>
      </c>
    </row>
    <row r="16" spans="2:25" ht="15.75">
      <c r="B16" s="65"/>
      <c r="C16" s="65"/>
      <c r="D16" s="65"/>
      <c r="E16" s="65"/>
      <c r="F16" s="65"/>
      <c r="G16" s="65"/>
      <c r="H16" s="66"/>
      <c r="I16" s="66"/>
      <c r="J16" s="66"/>
      <c r="K16" s="120"/>
      <c r="L16" s="120"/>
      <c r="M16" s="120"/>
      <c r="N16" s="120"/>
      <c r="O16" s="121"/>
      <c r="P16" s="121"/>
      <c r="Q16" s="121"/>
      <c r="R16" s="123"/>
      <c r="S16" s="123"/>
      <c r="T16" s="123"/>
      <c r="U16" s="123"/>
      <c r="V16" s="318"/>
      <c r="W16" s="318"/>
      <c r="X16" s="122"/>
      <c r="Y16" s="123"/>
    </row>
    <row r="17" spans="2:25" ht="15.75">
      <c r="B17" s="65" t="s">
        <v>653</v>
      </c>
      <c r="C17" s="65"/>
      <c r="D17" s="65"/>
      <c r="E17" s="65"/>
      <c r="F17" s="65"/>
      <c r="G17" s="67">
        <v>50000</v>
      </c>
      <c r="H17" s="66"/>
      <c r="I17" s="66"/>
      <c r="J17" s="66"/>
      <c r="K17" s="120"/>
      <c r="L17" s="120"/>
      <c r="M17" s="120"/>
      <c r="N17" s="120"/>
      <c r="O17" s="121">
        <v>50000</v>
      </c>
      <c r="P17" s="121">
        <v>50000</v>
      </c>
      <c r="Q17" s="121">
        <v>50000</v>
      </c>
      <c r="R17" s="123"/>
      <c r="S17" s="125">
        <v>50000</v>
      </c>
      <c r="T17" s="125">
        <v>50000</v>
      </c>
      <c r="U17" s="125">
        <v>50000</v>
      </c>
      <c r="V17" s="122"/>
      <c r="W17" s="122"/>
      <c r="X17" s="122">
        <v>50000</v>
      </c>
      <c r="Y17" s="123"/>
    </row>
    <row r="18" spans="2:25" ht="15.75">
      <c r="B18" s="65" t="s">
        <v>654</v>
      </c>
      <c r="C18" s="65"/>
      <c r="D18" s="65"/>
      <c r="E18" s="65"/>
      <c r="F18" s="65"/>
      <c r="G18" s="67">
        <v>30000</v>
      </c>
      <c r="H18" s="66"/>
      <c r="I18" s="66"/>
      <c r="J18" s="66"/>
      <c r="K18" s="120"/>
      <c r="L18" s="120"/>
      <c r="M18" s="120"/>
      <c r="N18" s="120"/>
      <c r="O18" s="121">
        <v>30000</v>
      </c>
      <c r="P18" s="121">
        <v>30000</v>
      </c>
      <c r="Q18" s="121">
        <v>30000</v>
      </c>
      <c r="R18" s="123"/>
      <c r="S18" s="125">
        <v>30000</v>
      </c>
      <c r="T18" s="125">
        <v>30000</v>
      </c>
      <c r="U18" s="125">
        <v>30000</v>
      </c>
      <c r="V18" s="319"/>
      <c r="W18" s="319"/>
      <c r="X18" s="320">
        <v>30000</v>
      </c>
      <c r="Y18" s="123"/>
    </row>
    <row r="19" spans="2:25" ht="15.75" hidden="1">
      <c r="B19" s="65" t="s">
        <v>89</v>
      </c>
      <c r="C19" s="65"/>
      <c r="D19" s="65"/>
      <c r="E19" s="65"/>
      <c r="F19" s="65"/>
      <c r="G19" s="67"/>
      <c r="H19" s="66"/>
      <c r="I19" s="66"/>
      <c r="J19" s="66"/>
      <c r="K19" s="120"/>
      <c r="L19" s="120"/>
      <c r="M19" s="120"/>
      <c r="N19" s="120"/>
      <c r="O19" s="121"/>
      <c r="P19" s="121"/>
      <c r="Q19" s="121"/>
      <c r="R19" s="123"/>
      <c r="S19" s="125"/>
      <c r="T19" s="125"/>
      <c r="U19" s="125"/>
      <c r="V19" s="122"/>
      <c r="W19" s="122"/>
      <c r="X19" s="122"/>
      <c r="Y19" s="123"/>
    </row>
    <row r="20" spans="2:25" ht="15.75" hidden="1">
      <c r="B20" s="65" t="s">
        <v>90</v>
      </c>
      <c r="C20" s="65"/>
      <c r="D20" s="65"/>
      <c r="E20" s="65"/>
      <c r="F20" s="65"/>
      <c r="G20" s="67"/>
      <c r="H20" s="66"/>
      <c r="I20" s="66"/>
      <c r="J20" s="66"/>
      <c r="K20" s="120"/>
      <c r="L20" s="120"/>
      <c r="M20" s="120"/>
      <c r="N20" s="120"/>
      <c r="O20" s="121"/>
      <c r="P20" s="121"/>
      <c r="Q20" s="121"/>
      <c r="R20" s="123"/>
      <c r="S20" s="125"/>
      <c r="T20" s="125"/>
      <c r="U20" s="125"/>
      <c r="V20" s="122"/>
      <c r="W20" s="122"/>
      <c r="X20" s="122"/>
      <c r="Y20" s="123"/>
    </row>
    <row r="21" spans="2:25" ht="18.75" customHeight="1">
      <c r="B21" s="65" t="s">
        <v>655</v>
      </c>
      <c r="C21" s="65"/>
      <c r="D21" s="65"/>
      <c r="E21" s="65"/>
      <c r="F21" s="65"/>
      <c r="G21" s="67">
        <v>25000</v>
      </c>
      <c r="H21" s="66"/>
      <c r="I21" s="66"/>
      <c r="J21" s="66"/>
      <c r="K21" s="120"/>
      <c r="L21" s="120"/>
      <c r="M21" s="120"/>
      <c r="N21" s="120"/>
      <c r="O21" s="121">
        <v>25000</v>
      </c>
      <c r="P21" s="121">
        <v>25000</v>
      </c>
      <c r="Q21" s="121">
        <v>25000</v>
      </c>
      <c r="R21" s="123"/>
      <c r="S21" s="125">
        <v>25000</v>
      </c>
      <c r="T21" s="125">
        <v>25000</v>
      </c>
      <c r="U21" s="125">
        <v>25000</v>
      </c>
      <c r="V21" s="122"/>
      <c r="W21" s="122"/>
      <c r="X21" s="122">
        <v>25000</v>
      </c>
      <c r="Y21" s="123"/>
    </row>
    <row r="22" spans="2:25" ht="15.75">
      <c r="B22" s="65" t="s">
        <v>656</v>
      </c>
      <c r="C22" s="65"/>
      <c r="D22" s="65"/>
      <c r="E22" s="65"/>
      <c r="F22" s="65"/>
      <c r="G22" s="67">
        <v>50000</v>
      </c>
      <c r="H22" s="67"/>
      <c r="I22" s="67"/>
      <c r="J22" s="67"/>
      <c r="K22" s="120"/>
      <c r="L22" s="120"/>
      <c r="M22" s="120"/>
      <c r="N22" s="120"/>
      <c r="O22" s="121">
        <v>50000</v>
      </c>
      <c r="P22" s="121">
        <v>50000</v>
      </c>
      <c r="Q22" s="121">
        <v>50000</v>
      </c>
      <c r="R22" s="123"/>
      <c r="S22" s="125">
        <v>50000</v>
      </c>
      <c r="T22" s="125">
        <v>50000</v>
      </c>
      <c r="U22" s="125">
        <v>50000</v>
      </c>
      <c r="V22" s="319"/>
      <c r="W22" s="319"/>
      <c r="X22" s="320">
        <v>50000</v>
      </c>
      <c r="Y22" s="123"/>
    </row>
    <row r="23" spans="1:25" ht="15.75">
      <c r="A23" s="176" t="s">
        <v>97</v>
      </c>
      <c r="B23" s="65" t="s">
        <v>682</v>
      </c>
      <c r="C23" s="65"/>
      <c r="D23" s="65"/>
      <c r="E23" s="65"/>
      <c r="F23" s="65"/>
      <c r="G23" s="67">
        <v>10000</v>
      </c>
      <c r="H23" s="67"/>
      <c r="I23" s="67"/>
      <c r="J23" s="67"/>
      <c r="K23" s="120"/>
      <c r="L23" s="120"/>
      <c r="M23" s="120"/>
      <c r="N23" s="120"/>
      <c r="O23" s="121">
        <v>20000</v>
      </c>
      <c r="P23" s="121">
        <v>10000</v>
      </c>
      <c r="Q23" s="121">
        <v>10000</v>
      </c>
      <c r="R23" s="123"/>
      <c r="S23" s="125">
        <v>10000</v>
      </c>
      <c r="T23" s="125">
        <v>10000</v>
      </c>
      <c r="U23" s="125">
        <v>10000</v>
      </c>
      <c r="V23" s="319"/>
      <c r="W23" s="319"/>
      <c r="X23" s="320">
        <v>10000</v>
      </c>
      <c r="Y23" s="123"/>
    </row>
    <row r="24" spans="2:25" ht="15.75">
      <c r="B24" s="65" t="s">
        <v>681</v>
      </c>
      <c r="C24" s="65"/>
      <c r="D24" s="65"/>
      <c r="E24" s="65"/>
      <c r="F24" s="65"/>
      <c r="G24" s="67">
        <v>10000</v>
      </c>
      <c r="H24" s="67"/>
      <c r="I24" s="67"/>
      <c r="J24" s="67"/>
      <c r="K24" s="120"/>
      <c r="L24" s="120"/>
      <c r="M24" s="120"/>
      <c r="N24" s="120"/>
      <c r="O24" s="121">
        <v>10000</v>
      </c>
      <c r="P24" s="121">
        <v>10000</v>
      </c>
      <c r="Q24" s="121">
        <v>10000</v>
      </c>
      <c r="R24" s="123"/>
      <c r="S24" s="125">
        <v>10000</v>
      </c>
      <c r="T24" s="125">
        <v>10000</v>
      </c>
      <c r="U24" s="125">
        <v>10000</v>
      </c>
      <c r="V24" s="319"/>
      <c r="W24" s="319"/>
      <c r="X24" s="320">
        <v>10000</v>
      </c>
      <c r="Y24" s="123"/>
    </row>
    <row r="25" spans="2:25" ht="15.75" hidden="1">
      <c r="B25" s="65" t="s">
        <v>91</v>
      </c>
      <c r="C25" s="65"/>
      <c r="D25" s="65"/>
      <c r="E25" s="65"/>
      <c r="F25" s="65"/>
      <c r="G25" s="67"/>
      <c r="H25" s="67"/>
      <c r="I25" s="67"/>
      <c r="J25" s="67"/>
      <c r="K25" s="120"/>
      <c r="L25" s="120"/>
      <c r="M25" s="120"/>
      <c r="N25" s="120"/>
      <c r="O25" s="121"/>
      <c r="P25" s="121"/>
      <c r="Q25" s="121"/>
      <c r="R25" s="123"/>
      <c r="S25" s="125"/>
      <c r="T25" s="125"/>
      <c r="U25" s="125"/>
      <c r="V25" s="122"/>
      <c r="W25" s="122"/>
      <c r="X25" s="122"/>
      <c r="Y25" s="123"/>
    </row>
    <row r="26" spans="2:25" ht="15.75" hidden="1">
      <c r="B26" s="65" t="s">
        <v>92</v>
      </c>
      <c r="C26" s="65"/>
      <c r="D26" s="65"/>
      <c r="E26" s="65"/>
      <c r="F26" s="65"/>
      <c r="G26" s="67"/>
      <c r="H26" s="67"/>
      <c r="I26" s="67"/>
      <c r="J26" s="67"/>
      <c r="K26" s="120"/>
      <c r="L26" s="120"/>
      <c r="M26" s="120"/>
      <c r="N26" s="120"/>
      <c r="O26" s="121"/>
      <c r="P26" s="121"/>
      <c r="Q26" s="121"/>
      <c r="R26" s="123"/>
      <c r="S26" s="125"/>
      <c r="T26" s="125"/>
      <c r="U26" s="125"/>
      <c r="V26" s="122"/>
      <c r="W26" s="122"/>
      <c r="X26" s="122"/>
      <c r="Y26" s="123"/>
    </row>
    <row r="27" spans="2:25" ht="15.75">
      <c r="B27" s="65" t="s">
        <v>93</v>
      </c>
      <c r="C27" s="65"/>
      <c r="D27" s="65"/>
      <c r="E27" s="65"/>
      <c r="F27" s="65"/>
      <c r="G27" s="67"/>
      <c r="H27" s="67"/>
      <c r="I27" s="67"/>
      <c r="J27" s="67"/>
      <c r="K27" s="120"/>
      <c r="L27" s="120"/>
      <c r="M27" s="120"/>
      <c r="N27" s="120"/>
      <c r="O27" s="121">
        <v>5000</v>
      </c>
      <c r="P27" s="121">
        <v>5000</v>
      </c>
      <c r="Q27" s="121">
        <v>5000</v>
      </c>
      <c r="R27" s="123"/>
      <c r="S27" s="125">
        <v>5000</v>
      </c>
      <c r="T27" s="125">
        <v>5000</v>
      </c>
      <c r="U27" s="125">
        <v>5000</v>
      </c>
      <c r="V27" s="122"/>
      <c r="W27" s="122"/>
      <c r="X27" s="122">
        <v>5000</v>
      </c>
      <c r="Y27" s="123"/>
    </row>
    <row r="28" spans="2:25" ht="15.75">
      <c r="B28" s="65" t="s">
        <v>507</v>
      </c>
      <c r="C28" s="65"/>
      <c r="D28" s="65"/>
      <c r="E28" s="65"/>
      <c r="F28" s="65"/>
      <c r="G28" s="67">
        <v>50000</v>
      </c>
      <c r="H28" s="67"/>
      <c r="I28" s="67"/>
      <c r="J28" s="67"/>
      <c r="K28" s="120"/>
      <c r="L28" s="120"/>
      <c r="M28" s="120"/>
      <c r="N28" s="120"/>
      <c r="O28" s="121">
        <v>50000</v>
      </c>
      <c r="P28" s="121">
        <v>50000</v>
      </c>
      <c r="Q28" s="121">
        <v>50000</v>
      </c>
      <c r="R28" s="123"/>
      <c r="S28" s="125">
        <v>50000</v>
      </c>
      <c r="T28" s="125">
        <v>50000</v>
      </c>
      <c r="U28" s="125">
        <v>50000</v>
      </c>
      <c r="V28" s="319"/>
      <c r="W28" s="319"/>
      <c r="X28" s="320">
        <v>50000</v>
      </c>
      <c r="Y28" s="123"/>
    </row>
    <row r="29" spans="2:25" ht="15.75">
      <c r="B29" s="65" t="s">
        <v>272</v>
      </c>
      <c r="C29" s="65"/>
      <c r="D29" s="65"/>
      <c r="E29" s="65"/>
      <c r="F29" s="65"/>
      <c r="G29" s="67"/>
      <c r="H29" s="67"/>
      <c r="I29" s="67"/>
      <c r="J29" s="67"/>
      <c r="K29" s="120"/>
      <c r="L29" s="120"/>
      <c r="M29" s="120"/>
      <c r="N29" s="120"/>
      <c r="O29" s="121">
        <v>5000</v>
      </c>
      <c r="P29" s="121">
        <v>5000</v>
      </c>
      <c r="Q29" s="121">
        <v>5000</v>
      </c>
      <c r="R29" s="123"/>
      <c r="S29" s="125">
        <v>5000</v>
      </c>
      <c r="T29" s="125">
        <v>5000</v>
      </c>
      <c r="U29" s="125">
        <v>5000</v>
      </c>
      <c r="V29" s="122"/>
      <c r="W29" s="122"/>
      <c r="X29" s="122">
        <v>5000</v>
      </c>
      <c r="Y29" s="123"/>
    </row>
    <row r="30" spans="2:25" ht="15.75">
      <c r="B30" s="65" t="s">
        <v>657</v>
      </c>
      <c r="C30" s="65"/>
      <c r="D30" s="65"/>
      <c r="E30" s="65"/>
      <c r="F30" s="65"/>
      <c r="G30" s="67">
        <v>50000</v>
      </c>
      <c r="H30" s="67"/>
      <c r="I30" s="67"/>
      <c r="J30" s="67"/>
      <c r="K30" s="120"/>
      <c r="L30" s="120"/>
      <c r="M30" s="120"/>
      <c r="N30" s="120"/>
      <c r="O30" s="121">
        <v>50000</v>
      </c>
      <c r="P30" s="121">
        <v>50000</v>
      </c>
      <c r="Q30" s="121">
        <v>50000</v>
      </c>
      <c r="R30" s="123"/>
      <c r="S30" s="125">
        <v>50000</v>
      </c>
      <c r="T30" s="126">
        <v>50000</v>
      </c>
      <c r="U30" s="125">
        <v>50000</v>
      </c>
      <c r="V30" s="319"/>
      <c r="W30" s="319"/>
      <c r="X30" s="320">
        <v>50000</v>
      </c>
      <c r="Y30" s="123"/>
    </row>
    <row r="31" spans="2:25" ht="15.75" hidden="1">
      <c r="B31" s="65"/>
      <c r="C31" s="65"/>
      <c r="D31" s="65"/>
      <c r="E31" s="65"/>
      <c r="F31" s="65"/>
      <c r="G31" s="67"/>
      <c r="H31" s="67"/>
      <c r="I31" s="67"/>
      <c r="J31" s="67"/>
      <c r="K31" s="120"/>
      <c r="L31" s="120"/>
      <c r="M31" s="120"/>
      <c r="N31" s="120"/>
      <c r="O31" s="121"/>
      <c r="P31" s="121"/>
      <c r="Q31" s="121"/>
      <c r="R31" s="123"/>
      <c r="S31" s="125"/>
      <c r="T31" s="127"/>
      <c r="U31" s="125"/>
      <c r="V31" s="122"/>
      <c r="W31" s="122"/>
      <c r="X31" s="122"/>
      <c r="Y31" s="123"/>
    </row>
    <row r="32" spans="2:25" ht="15.75" hidden="1">
      <c r="B32" s="65" t="s">
        <v>578</v>
      </c>
      <c r="C32" s="65"/>
      <c r="D32" s="65"/>
      <c r="E32" s="65"/>
      <c r="F32" s="65"/>
      <c r="G32" s="67"/>
      <c r="H32" s="67"/>
      <c r="I32" s="67"/>
      <c r="J32" s="67"/>
      <c r="K32" s="120"/>
      <c r="L32" s="120"/>
      <c r="M32" s="120"/>
      <c r="N32" s="120"/>
      <c r="O32" s="121"/>
      <c r="P32" s="121"/>
      <c r="Q32" s="121"/>
      <c r="R32" s="123"/>
      <c r="S32" s="321">
        <v>0</v>
      </c>
      <c r="T32" s="127"/>
      <c r="U32" s="321">
        <v>0</v>
      </c>
      <c r="V32" s="122"/>
      <c r="W32" s="122"/>
      <c r="X32" s="322">
        <v>50000</v>
      </c>
      <c r="Y32" s="123"/>
    </row>
    <row r="33" spans="2:25" ht="15.75">
      <c r="B33" s="65" t="s">
        <v>618</v>
      </c>
      <c r="C33" s="65"/>
      <c r="D33" s="65"/>
      <c r="E33" s="65"/>
      <c r="F33" s="65"/>
      <c r="G33" s="67"/>
      <c r="H33" s="67"/>
      <c r="I33" s="67"/>
      <c r="J33" s="67"/>
      <c r="K33" s="120"/>
      <c r="L33" s="120"/>
      <c r="M33" s="120"/>
      <c r="N33" s="120"/>
      <c r="O33" s="121">
        <v>3000</v>
      </c>
      <c r="P33" s="121">
        <v>3000</v>
      </c>
      <c r="Q33" s="121">
        <v>3000</v>
      </c>
      <c r="R33" s="123"/>
      <c r="S33" s="126"/>
      <c r="T33" s="127"/>
      <c r="U33" s="126"/>
      <c r="V33" s="122"/>
      <c r="W33" s="122"/>
      <c r="X33" s="322"/>
      <c r="Y33" s="123"/>
    </row>
    <row r="34" spans="2:25" ht="15.75">
      <c r="B34" s="65" t="s">
        <v>619</v>
      </c>
      <c r="C34" s="65"/>
      <c r="D34" s="65"/>
      <c r="E34" s="65"/>
      <c r="F34" s="65"/>
      <c r="G34" s="67"/>
      <c r="H34" s="67"/>
      <c r="I34" s="67"/>
      <c r="J34" s="67"/>
      <c r="K34" s="120"/>
      <c r="L34" s="120"/>
      <c r="M34" s="120"/>
      <c r="N34" s="120"/>
      <c r="O34" s="128">
        <v>20000</v>
      </c>
      <c r="P34" s="128">
        <v>20000</v>
      </c>
      <c r="Q34" s="128">
        <v>20000</v>
      </c>
      <c r="R34" s="123"/>
      <c r="S34" s="126"/>
      <c r="T34" s="127"/>
      <c r="U34" s="126"/>
      <c r="V34" s="122"/>
      <c r="W34" s="122"/>
      <c r="X34" s="322"/>
      <c r="Y34" s="123"/>
    </row>
    <row r="35" spans="2:25" ht="16.5" hidden="1" thickBot="1">
      <c r="B35" s="65" t="s">
        <v>94</v>
      </c>
      <c r="C35" s="65"/>
      <c r="D35" s="65"/>
      <c r="E35" s="65"/>
      <c r="F35" s="65"/>
      <c r="G35" s="67"/>
      <c r="H35" s="68">
        <f>SUM(G17:G31)</f>
        <v>275000</v>
      </c>
      <c r="I35" s="67"/>
      <c r="J35" s="67"/>
      <c r="K35" s="120"/>
      <c r="L35" s="120"/>
      <c r="M35" s="120"/>
      <c r="N35" s="120"/>
      <c r="O35" s="128"/>
      <c r="P35" s="128"/>
      <c r="Q35" s="128"/>
      <c r="R35" s="123"/>
      <c r="S35" s="323"/>
      <c r="T35" s="130">
        <f>SUM(S17:S30)</f>
        <v>285000</v>
      </c>
      <c r="U35" s="123"/>
      <c r="V35" s="322">
        <f>SUM(U17:U31)</f>
        <v>285000</v>
      </c>
      <c r="W35" s="322"/>
      <c r="X35" s="322"/>
      <c r="Y35" s="324">
        <f>SUM(X17:X32)</f>
        <v>335000</v>
      </c>
    </row>
    <row r="36" spans="2:25" ht="18.75">
      <c r="B36" s="117" t="s">
        <v>95</v>
      </c>
      <c r="C36" s="65"/>
      <c r="D36" s="65"/>
      <c r="E36" s="65"/>
      <c r="F36" s="65"/>
      <c r="G36" s="66"/>
      <c r="H36" s="74">
        <f>+H15+H35</f>
        <v>699792.74</v>
      </c>
      <c r="I36" s="74"/>
      <c r="J36" s="74"/>
      <c r="K36" s="120"/>
      <c r="L36" s="120"/>
      <c r="M36" s="120"/>
      <c r="N36" s="120"/>
      <c r="O36" s="131">
        <f>SUM(O14:O35)</f>
        <v>318000</v>
      </c>
      <c r="P36" s="131">
        <f>SUM(P14:P35)</f>
        <v>308000</v>
      </c>
      <c r="Q36" s="131">
        <f>SUM(Q14:Q35)</f>
        <v>308000</v>
      </c>
      <c r="R36" s="123"/>
      <c r="S36" s="132">
        <f>SUM(S17:S30)</f>
        <v>285000</v>
      </c>
      <c r="T36" s="132">
        <f>+T15+T35</f>
        <v>285000</v>
      </c>
      <c r="U36" s="123"/>
      <c r="V36" s="132">
        <f>+V15+V35</f>
        <v>1067620</v>
      </c>
      <c r="W36" s="132"/>
      <c r="X36" s="122"/>
      <c r="Y36" s="132">
        <f>SUM(Y15:Y35)</f>
        <v>539917.81</v>
      </c>
    </row>
    <row r="37" spans="2:25" ht="15.75">
      <c r="B37" s="26"/>
      <c r="C37" s="13"/>
      <c r="D37" s="13"/>
      <c r="E37" s="13"/>
      <c r="F37" s="13"/>
      <c r="G37" s="7"/>
      <c r="H37" s="11"/>
      <c r="I37" s="11"/>
      <c r="J37" s="11"/>
      <c r="V37" s="325"/>
      <c r="W37" s="325"/>
      <c r="X37" s="326"/>
      <c r="Y37" s="327"/>
    </row>
    <row r="38" spans="1:24" ht="18.75">
      <c r="A38" s="176" t="s">
        <v>97</v>
      </c>
      <c r="B38" s="139" t="s">
        <v>710</v>
      </c>
      <c r="C38" s="13"/>
      <c r="D38" s="13"/>
      <c r="E38" s="13"/>
      <c r="F38" s="13"/>
      <c r="G38" s="7"/>
      <c r="H38" s="7"/>
      <c r="I38" s="7"/>
      <c r="J38" s="7"/>
      <c r="X38" s="326"/>
    </row>
    <row r="39" spans="2:24" ht="18.75">
      <c r="B39" s="139" t="s">
        <v>711</v>
      </c>
      <c r="C39" s="13"/>
      <c r="D39" s="13"/>
      <c r="E39" s="13"/>
      <c r="F39" s="13"/>
      <c r="G39" s="7"/>
      <c r="H39" s="7"/>
      <c r="I39" s="7"/>
      <c r="J39" s="7"/>
      <c r="X39" s="326"/>
    </row>
    <row r="40" spans="2:24" ht="15.75">
      <c r="B40" s="26"/>
      <c r="C40" s="13"/>
      <c r="D40" s="13"/>
      <c r="E40" s="13"/>
      <c r="F40" s="13"/>
      <c r="G40" s="7"/>
      <c r="H40" s="7"/>
      <c r="I40" s="7"/>
      <c r="J40" s="7"/>
      <c r="X40" s="326"/>
    </row>
    <row r="41" spans="2:24" ht="15.75">
      <c r="B41" s="26"/>
      <c r="C41" s="13"/>
      <c r="D41" s="13"/>
      <c r="E41" s="13"/>
      <c r="F41" s="13"/>
      <c r="G41" s="7"/>
      <c r="H41" s="7"/>
      <c r="I41" s="7"/>
      <c r="J41" s="7"/>
      <c r="O41" s="494" t="s">
        <v>665</v>
      </c>
      <c r="P41" s="494"/>
      <c r="X41" s="326"/>
    </row>
    <row r="42" spans="2:26" ht="18.75">
      <c r="B42" s="118" t="s">
        <v>506</v>
      </c>
      <c r="C42" s="118"/>
      <c r="D42" s="118"/>
      <c r="E42" s="118"/>
      <c r="F42" s="118"/>
      <c r="G42" s="134"/>
      <c r="H42" s="134"/>
      <c r="I42" s="134" t="s">
        <v>483</v>
      </c>
      <c r="J42" s="134" t="s">
        <v>484</v>
      </c>
      <c r="K42" s="135"/>
      <c r="L42" s="135"/>
      <c r="M42" s="135"/>
      <c r="N42" s="135"/>
      <c r="O42" s="118">
        <v>2021</v>
      </c>
      <c r="P42" s="118">
        <v>2020</v>
      </c>
      <c r="Q42" s="118">
        <v>2019</v>
      </c>
      <c r="R42" s="328" t="s">
        <v>592</v>
      </c>
      <c r="S42" s="317">
        <v>2018</v>
      </c>
      <c r="T42" s="328" t="s">
        <v>592</v>
      </c>
      <c r="U42" s="317">
        <v>2017</v>
      </c>
      <c r="V42" s="328" t="s">
        <v>483</v>
      </c>
      <c r="W42" s="328" t="s">
        <v>484</v>
      </c>
      <c r="X42" s="317">
        <v>2016</v>
      </c>
      <c r="Y42" s="328" t="s">
        <v>483</v>
      </c>
      <c r="Z42" s="328" t="s">
        <v>484</v>
      </c>
    </row>
    <row r="43" spans="2:24" ht="15" hidden="1">
      <c r="B43" s="13" t="s">
        <v>96</v>
      </c>
      <c r="C43" s="13"/>
      <c r="D43" s="13"/>
      <c r="E43" s="13"/>
      <c r="F43" s="13"/>
      <c r="G43" s="7"/>
      <c r="H43" s="7"/>
      <c r="I43" s="7"/>
      <c r="J43" s="7"/>
      <c r="X43" s="326"/>
    </row>
    <row r="44" spans="2:26" ht="15" hidden="1">
      <c r="B44" s="13" t="s">
        <v>98</v>
      </c>
      <c r="C44" s="13"/>
      <c r="D44" s="13"/>
      <c r="E44" s="13"/>
      <c r="F44" s="13"/>
      <c r="G44" s="7"/>
      <c r="H44" s="7">
        <v>54474.94</v>
      </c>
      <c r="I44" s="7"/>
      <c r="J44" s="7"/>
      <c r="X44" s="326">
        <v>0</v>
      </c>
      <c r="Y44" s="327"/>
      <c r="Z44" s="327"/>
    </row>
    <row r="45" spans="2:26" ht="15" hidden="1">
      <c r="B45" s="13" t="s">
        <v>99</v>
      </c>
      <c r="C45" s="13"/>
      <c r="D45" s="13"/>
      <c r="E45" s="13"/>
      <c r="F45" s="13"/>
      <c r="G45" s="7"/>
      <c r="H45" s="7"/>
      <c r="I45" s="7"/>
      <c r="J45" s="7"/>
      <c r="X45" s="326"/>
      <c r="Y45" s="327"/>
      <c r="Z45" s="327"/>
    </row>
    <row r="46" spans="1:27" ht="15.75">
      <c r="A46" s="176" t="s">
        <v>109</v>
      </c>
      <c r="B46" s="65" t="s">
        <v>553</v>
      </c>
      <c r="C46" s="65"/>
      <c r="D46" s="65"/>
      <c r="E46" s="65"/>
      <c r="F46" s="65"/>
      <c r="G46" s="66"/>
      <c r="H46" s="67">
        <v>67492.22</v>
      </c>
      <c r="I46" s="67">
        <v>1525.7</v>
      </c>
      <c r="J46" s="67"/>
      <c r="K46" s="120"/>
      <c r="L46" s="120"/>
      <c r="M46" s="120"/>
      <c r="N46" s="120"/>
      <c r="O46" s="254">
        <v>-2180.66</v>
      </c>
      <c r="P46" s="80">
        <v>28111.9</v>
      </c>
      <c r="Q46" s="250">
        <v>-1533.53</v>
      </c>
      <c r="R46" s="125">
        <v>0</v>
      </c>
      <c r="S46" s="122">
        <v>-299.8</v>
      </c>
      <c r="T46" s="122"/>
      <c r="U46" s="122">
        <v>363123.44</v>
      </c>
      <c r="V46" s="122">
        <v>7468.05</v>
      </c>
      <c r="W46" s="123"/>
      <c r="X46" s="122">
        <v>-530.37</v>
      </c>
      <c r="Y46" s="329"/>
      <c r="Z46" s="329"/>
      <c r="AA46" s="123"/>
    </row>
    <row r="47" spans="1:27" ht="15.75">
      <c r="A47" s="4" t="s">
        <v>97</v>
      </c>
      <c r="B47" s="65" t="s">
        <v>554</v>
      </c>
      <c r="C47" s="65"/>
      <c r="D47" s="65"/>
      <c r="E47" s="65"/>
      <c r="F47" s="65"/>
      <c r="G47" s="66"/>
      <c r="H47" s="67">
        <v>59632.4</v>
      </c>
      <c r="I47" s="67">
        <v>1357.3</v>
      </c>
      <c r="J47" s="67"/>
      <c r="K47" s="120"/>
      <c r="L47" s="120"/>
      <c r="M47" s="120"/>
      <c r="N47" s="120"/>
      <c r="O47" s="226">
        <v>2033052.92</v>
      </c>
      <c r="P47" s="80">
        <v>2147207.92</v>
      </c>
      <c r="Q47" s="80">
        <v>2735709.7</v>
      </c>
      <c r="R47" s="122" t="s">
        <v>622</v>
      </c>
      <c r="S47" s="122">
        <v>654411.15</v>
      </c>
      <c r="T47" s="122" t="s">
        <v>593</v>
      </c>
      <c r="U47" s="122">
        <v>490936.39</v>
      </c>
      <c r="V47" s="122">
        <v>10425.57</v>
      </c>
      <c r="W47" s="123"/>
      <c r="X47" s="122">
        <v>-1394.07</v>
      </c>
      <c r="Y47" s="329"/>
      <c r="Z47" s="329"/>
      <c r="AA47" s="123"/>
    </row>
    <row r="48" spans="1:27" ht="15.75" hidden="1">
      <c r="A48" s="4" t="s">
        <v>97</v>
      </c>
      <c r="B48" s="65" t="s">
        <v>482</v>
      </c>
      <c r="C48" s="65"/>
      <c r="D48" s="65"/>
      <c r="E48" s="65"/>
      <c r="F48" s="65"/>
      <c r="G48" s="66"/>
      <c r="H48" s="67"/>
      <c r="I48" s="67"/>
      <c r="J48" s="67"/>
      <c r="K48" s="120"/>
      <c r="L48" s="120"/>
      <c r="M48" s="120"/>
      <c r="N48" s="120"/>
      <c r="O48" s="226"/>
      <c r="P48" s="80"/>
      <c r="Q48" s="80"/>
      <c r="R48" s="123"/>
      <c r="S48" s="122"/>
      <c r="T48" s="122"/>
      <c r="U48" s="122"/>
      <c r="V48" s="122"/>
      <c r="W48" s="123"/>
      <c r="X48" s="122"/>
      <c r="Y48" s="329"/>
      <c r="Z48" s="329"/>
      <c r="AA48" s="123"/>
    </row>
    <row r="49" spans="1:27" ht="15.75">
      <c r="A49" s="4" t="s">
        <v>97</v>
      </c>
      <c r="B49" s="65" t="s">
        <v>555</v>
      </c>
      <c r="C49" s="65"/>
      <c r="D49" s="65"/>
      <c r="E49" s="65"/>
      <c r="F49" s="65"/>
      <c r="G49" s="66"/>
      <c r="H49" s="67"/>
      <c r="I49" s="67"/>
      <c r="J49" s="67"/>
      <c r="K49" s="120"/>
      <c r="L49" s="120"/>
      <c r="M49" s="120"/>
      <c r="N49" s="120"/>
      <c r="O49" s="226">
        <v>1352978.15</v>
      </c>
      <c r="P49" s="80">
        <v>1231658.97</v>
      </c>
      <c r="Q49" s="80">
        <v>1121927.14</v>
      </c>
      <c r="R49" s="122" t="s">
        <v>595</v>
      </c>
      <c r="S49" s="122">
        <v>1121927.14</v>
      </c>
      <c r="T49" s="122" t="s">
        <v>595</v>
      </c>
      <c r="U49" s="122">
        <v>1085214.06</v>
      </c>
      <c r="V49" s="122">
        <v>23281.81</v>
      </c>
      <c r="W49" s="123"/>
      <c r="X49" s="122">
        <v>-32.74</v>
      </c>
      <c r="Y49" s="329"/>
      <c r="Z49" s="329"/>
      <c r="AA49" s="123"/>
    </row>
    <row r="50" spans="1:27" ht="15.75" hidden="1">
      <c r="A50" s="4" t="s">
        <v>97</v>
      </c>
      <c r="B50" s="65" t="s">
        <v>556</v>
      </c>
      <c r="C50" s="65"/>
      <c r="D50" s="65"/>
      <c r="E50" s="65"/>
      <c r="F50" s="65"/>
      <c r="G50" s="66"/>
      <c r="H50" s="67">
        <v>-3560</v>
      </c>
      <c r="I50" s="67"/>
      <c r="J50" s="67">
        <v>0</v>
      </c>
      <c r="K50" s="120"/>
      <c r="L50" s="120"/>
      <c r="M50" s="120"/>
      <c r="N50" s="120"/>
      <c r="O50" s="226"/>
      <c r="P50" s="80"/>
      <c r="Q50" s="80"/>
      <c r="R50" s="123"/>
      <c r="S50" s="122"/>
      <c r="T50" s="122"/>
      <c r="U50" s="122">
        <v>0</v>
      </c>
      <c r="V50" s="122"/>
      <c r="W50" s="123"/>
      <c r="X50" s="122">
        <v>87578.23</v>
      </c>
      <c r="Y50" s="329"/>
      <c r="Z50" s="329"/>
      <c r="AA50" s="123"/>
    </row>
    <row r="51" spans="2:27" ht="15.75">
      <c r="B51" s="65" t="s">
        <v>557</v>
      </c>
      <c r="C51" s="65"/>
      <c r="D51" s="65"/>
      <c r="E51" s="65"/>
      <c r="F51" s="65"/>
      <c r="G51" s="66"/>
      <c r="H51" s="67"/>
      <c r="I51" s="67"/>
      <c r="J51" s="67"/>
      <c r="K51" s="120"/>
      <c r="L51" s="120"/>
      <c r="M51" s="120"/>
      <c r="N51" s="120"/>
      <c r="O51" s="226">
        <v>0</v>
      </c>
      <c r="P51" s="80">
        <v>3001.61</v>
      </c>
      <c r="Q51" s="80">
        <v>111742.48</v>
      </c>
      <c r="R51" s="122" t="s">
        <v>620</v>
      </c>
      <c r="S51" s="122">
        <v>303134.59</v>
      </c>
      <c r="T51" s="122" t="s">
        <v>594</v>
      </c>
      <c r="U51" s="122">
        <v>-916</v>
      </c>
      <c r="V51" s="122"/>
      <c r="W51" s="123"/>
      <c r="X51" s="122"/>
      <c r="Y51" s="329"/>
      <c r="Z51" s="329"/>
      <c r="AA51" s="123"/>
    </row>
    <row r="52" spans="1:27" ht="15.75">
      <c r="A52" s="4" t="s">
        <v>109</v>
      </c>
      <c r="B52" s="65" t="s">
        <v>558</v>
      </c>
      <c r="C52" s="65"/>
      <c r="D52" s="65"/>
      <c r="E52" s="65"/>
      <c r="F52" s="65"/>
      <c r="G52" s="66"/>
      <c r="H52" s="67">
        <v>459498</v>
      </c>
      <c r="I52" s="67"/>
      <c r="J52" s="67">
        <v>10000</v>
      </c>
      <c r="K52" s="120"/>
      <c r="L52" s="120"/>
      <c r="M52" s="120"/>
      <c r="N52" s="120"/>
      <c r="O52" s="254">
        <v>-6471.67</v>
      </c>
      <c r="P52" s="254">
        <v>-7759.46</v>
      </c>
      <c r="Q52" s="80">
        <v>175769.02</v>
      </c>
      <c r="R52" s="122" t="s">
        <v>621</v>
      </c>
      <c r="S52" s="122">
        <v>-6073.65</v>
      </c>
      <c r="T52" s="122"/>
      <c r="U52" s="122">
        <v>229364</v>
      </c>
      <c r="V52" s="122"/>
      <c r="W52" s="122">
        <v>5000</v>
      </c>
      <c r="X52" s="122">
        <v>496795</v>
      </c>
      <c r="Y52" s="329"/>
      <c r="Z52" s="320">
        <v>10000</v>
      </c>
      <c r="AA52" s="123"/>
    </row>
    <row r="53" spans="2:27" ht="15.75">
      <c r="B53" s="65" t="s">
        <v>667</v>
      </c>
      <c r="C53" s="65"/>
      <c r="D53" s="65"/>
      <c r="E53" s="65"/>
      <c r="F53" s="65"/>
      <c r="G53" s="66"/>
      <c r="H53" s="67">
        <v>724682.25</v>
      </c>
      <c r="I53" s="67"/>
      <c r="J53" s="67"/>
      <c r="K53" s="120"/>
      <c r="L53" s="120"/>
      <c r="M53" s="120"/>
      <c r="N53" s="120"/>
      <c r="O53" s="226">
        <v>790574.03</v>
      </c>
      <c r="P53" s="80">
        <v>2674501.3</v>
      </c>
      <c r="Q53" s="80">
        <v>86375.3</v>
      </c>
      <c r="R53" s="123"/>
      <c r="S53" s="122">
        <v>2307394.91</v>
      </c>
      <c r="T53" s="122"/>
      <c r="U53" s="122">
        <v>1942922.28</v>
      </c>
      <c r="V53" s="122"/>
      <c r="W53" s="123"/>
      <c r="X53" s="122">
        <v>2344150.68</v>
      </c>
      <c r="Y53" s="329"/>
      <c r="Z53" s="329"/>
      <c r="AA53" s="123"/>
    </row>
    <row r="54" spans="2:27" ht="15.75">
      <c r="B54" s="65" t="s">
        <v>559</v>
      </c>
      <c r="C54" s="65"/>
      <c r="D54" s="65"/>
      <c r="E54" s="65"/>
      <c r="F54" s="65"/>
      <c r="G54" s="66"/>
      <c r="H54" s="67">
        <v>14510353.45</v>
      </c>
      <c r="I54" s="67"/>
      <c r="J54" s="67"/>
      <c r="K54" s="120"/>
      <c r="L54" s="120"/>
      <c r="M54" s="120"/>
      <c r="N54" s="120"/>
      <c r="O54" s="226">
        <v>244081058.19</v>
      </c>
      <c r="P54" s="80">
        <v>161908190.77</v>
      </c>
      <c r="Q54" s="80">
        <v>110382899.44</v>
      </c>
      <c r="R54" s="123"/>
      <c r="S54" s="122">
        <v>93285419.53</v>
      </c>
      <c r="T54" s="122"/>
      <c r="U54" s="122">
        <v>65885646.8</v>
      </c>
      <c r="V54" s="122"/>
      <c r="W54" s="123"/>
      <c r="X54" s="122">
        <v>22441484.52</v>
      </c>
      <c r="Y54" s="329"/>
      <c r="Z54" s="329"/>
      <c r="AA54" s="123"/>
    </row>
    <row r="55" spans="2:27" ht="15.75">
      <c r="B55" s="65" t="s">
        <v>560</v>
      </c>
      <c r="C55" s="65"/>
      <c r="D55" s="65"/>
      <c r="E55" s="65"/>
      <c r="F55" s="65"/>
      <c r="G55" s="66"/>
      <c r="H55" s="67">
        <v>0</v>
      </c>
      <c r="I55" s="67"/>
      <c r="J55" s="67"/>
      <c r="K55" s="120"/>
      <c r="L55" s="120"/>
      <c r="M55" s="120"/>
      <c r="N55" s="120"/>
      <c r="O55" s="226">
        <v>40647042.02</v>
      </c>
      <c r="P55" s="80">
        <v>36208564.47</v>
      </c>
      <c r="Q55" s="80">
        <v>28839361.37</v>
      </c>
      <c r="R55" s="123"/>
      <c r="S55" s="122">
        <v>19651874.8</v>
      </c>
      <c r="T55" s="122"/>
      <c r="U55" s="122">
        <v>4785071.08</v>
      </c>
      <c r="V55" s="122"/>
      <c r="W55" s="123"/>
      <c r="X55" s="122">
        <v>3406690.11</v>
      </c>
      <c r="Y55" s="329"/>
      <c r="Z55" s="329"/>
      <c r="AA55" s="123"/>
    </row>
    <row r="56" spans="2:27" ht="15.75">
      <c r="B56" s="65" t="s">
        <v>561</v>
      </c>
      <c r="C56" s="65"/>
      <c r="D56" s="65"/>
      <c r="E56" s="65"/>
      <c r="F56" s="65"/>
      <c r="G56" s="66"/>
      <c r="H56" s="67">
        <v>3893121.87</v>
      </c>
      <c r="I56" s="67"/>
      <c r="J56" s="67"/>
      <c r="K56" s="120"/>
      <c r="L56" s="120"/>
      <c r="M56" s="120"/>
      <c r="N56" s="120"/>
      <c r="O56" s="226">
        <v>933604.5</v>
      </c>
      <c r="P56" s="80">
        <v>30555.55</v>
      </c>
      <c r="Q56" s="80">
        <v>14687985.94</v>
      </c>
      <c r="R56" s="123"/>
      <c r="S56" s="122">
        <v>9698457.32</v>
      </c>
      <c r="T56" s="122"/>
      <c r="U56" s="122">
        <v>12217.5</v>
      </c>
      <c r="V56" s="122"/>
      <c r="W56" s="123"/>
      <c r="X56" s="122">
        <v>0</v>
      </c>
      <c r="Y56" s="329"/>
      <c r="Z56" s="329"/>
      <c r="AA56" s="123"/>
    </row>
    <row r="57" spans="2:27" ht="15.75">
      <c r="B57" s="65" t="s">
        <v>562</v>
      </c>
      <c r="C57" s="65"/>
      <c r="D57" s="65"/>
      <c r="E57" s="65"/>
      <c r="F57" s="65"/>
      <c r="G57" s="66"/>
      <c r="H57" s="67">
        <v>5262515.01</v>
      </c>
      <c r="I57" s="67"/>
      <c r="J57" s="67"/>
      <c r="K57" s="120"/>
      <c r="L57" s="120"/>
      <c r="M57" s="120"/>
      <c r="N57" s="120"/>
      <c r="O57" s="226">
        <v>3045717.86</v>
      </c>
      <c r="P57" s="80">
        <v>1528073.8</v>
      </c>
      <c r="Q57" s="80">
        <v>7711664.33</v>
      </c>
      <c r="R57" s="123"/>
      <c r="S57" s="122">
        <v>9549222.1</v>
      </c>
      <c r="T57" s="122"/>
      <c r="U57" s="122">
        <v>8984513.56</v>
      </c>
      <c r="V57" s="122"/>
      <c r="W57" s="123"/>
      <c r="X57" s="122">
        <v>7153126.81</v>
      </c>
      <c r="Y57" s="329"/>
      <c r="Z57" s="329"/>
      <c r="AA57" s="123"/>
    </row>
    <row r="58" spans="2:27" ht="15.75">
      <c r="B58" s="65" t="s">
        <v>666</v>
      </c>
      <c r="C58" s="65"/>
      <c r="D58" s="65"/>
      <c r="E58" s="65"/>
      <c r="F58" s="65"/>
      <c r="G58" s="66"/>
      <c r="H58" s="67"/>
      <c r="I58" s="67"/>
      <c r="J58" s="67"/>
      <c r="K58" s="120"/>
      <c r="L58" s="120"/>
      <c r="M58" s="120"/>
      <c r="N58" s="120"/>
      <c r="O58" s="95">
        <v>115395.41</v>
      </c>
      <c r="P58" s="95">
        <v>220467.38</v>
      </c>
      <c r="Q58" s="95">
        <v>4437.69</v>
      </c>
      <c r="R58" s="123"/>
      <c r="S58" s="122"/>
      <c r="T58" s="122"/>
      <c r="U58" s="122"/>
      <c r="V58" s="122"/>
      <c r="W58" s="123"/>
      <c r="X58" s="122"/>
      <c r="Y58" s="329"/>
      <c r="Z58" s="329"/>
      <c r="AA58" s="123"/>
    </row>
    <row r="59" spans="1:27" ht="15.75">
      <c r="A59" s="176" t="s">
        <v>189</v>
      </c>
      <c r="B59" s="65" t="s">
        <v>687</v>
      </c>
      <c r="O59" s="92">
        <v>17560</v>
      </c>
      <c r="P59" s="92">
        <v>10200</v>
      </c>
      <c r="Q59" s="92">
        <v>0</v>
      </c>
      <c r="R59" s="123"/>
      <c r="S59" s="322">
        <v>20926.94</v>
      </c>
      <c r="T59" s="122"/>
      <c r="U59" s="322">
        <v>124771.09</v>
      </c>
      <c r="V59" s="322"/>
      <c r="W59" s="323"/>
      <c r="X59" s="322">
        <v>5381.46</v>
      </c>
      <c r="Y59" s="329"/>
      <c r="Z59" s="329"/>
      <c r="AA59" s="123"/>
    </row>
    <row r="60" spans="2:27" ht="18.75">
      <c r="B60" s="117" t="s">
        <v>100</v>
      </c>
      <c r="C60" s="65"/>
      <c r="D60" s="65"/>
      <c r="E60" s="65"/>
      <c r="F60" s="65"/>
      <c r="G60" s="66"/>
      <c r="H60" s="78">
        <f>SUM(H43:H58)</f>
        <v>25028210.14</v>
      </c>
      <c r="I60" s="78"/>
      <c r="J60" s="78"/>
      <c r="K60" s="136"/>
      <c r="L60" s="120"/>
      <c r="M60" s="120"/>
      <c r="N60" s="120"/>
      <c r="O60" s="131">
        <f>SUM(O46:O59)</f>
        <v>293008330.75000006</v>
      </c>
      <c r="P60" s="131">
        <f>SUM(P46:P59)</f>
        <v>205982774.21000004</v>
      </c>
      <c r="Q60" s="131">
        <f>SUM(Q46:Q59)</f>
        <v>165856338.88</v>
      </c>
      <c r="R60" s="123"/>
      <c r="S60" s="132">
        <f>SUM(S46:S59)</f>
        <v>136586395.03</v>
      </c>
      <c r="T60" s="123"/>
      <c r="U60" s="132">
        <f>SUM(U46:U59)</f>
        <v>83902864.2</v>
      </c>
      <c r="V60" s="132">
        <f>SUM(V46:V59)</f>
        <v>41175.43</v>
      </c>
      <c r="W60" s="132">
        <f>SUM(W46:W59)</f>
        <v>5000</v>
      </c>
      <c r="X60" s="132">
        <f>SUM(X46:X59)</f>
        <v>35933249.63</v>
      </c>
      <c r="Y60" s="329"/>
      <c r="Z60" s="329"/>
      <c r="AA60" s="123"/>
    </row>
    <row r="61" spans="2:27" ht="15.75">
      <c r="B61" s="65"/>
      <c r="C61" s="65"/>
      <c r="D61" s="65"/>
      <c r="E61" s="65"/>
      <c r="F61" s="65"/>
      <c r="G61" s="66"/>
      <c r="H61" s="69"/>
      <c r="I61" s="137"/>
      <c r="J61" s="137"/>
      <c r="K61" s="120"/>
      <c r="L61" s="120"/>
      <c r="M61" s="120"/>
      <c r="N61" s="120"/>
      <c r="O61" s="136"/>
      <c r="P61" s="129"/>
      <c r="Q61" s="129"/>
      <c r="R61" s="123"/>
      <c r="S61" s="323"/>
      <c r="T61" s="123"/>
      <c r="U61" s="323"/>
      <c r="V61" s="123"/>
      <c r="W61" s="123"/>
      <c r="X61" s="330"/>
      <c r="Y61" s="329"/>
      <c r="Z61" s="329"/>
      <c r="AA61" s="123"/>
    </row>
    <row r="62" spans="2:27" ht="21" thickBot="1">
      <c r="B62" s="208" t="s">
        <v>101</v>
      </c>
      <c r="C62" s="65"/>
      <c r="D62" s="65"/>
      <c r="E62" s="65"/>
      <c r="F62" s="65"/>
      <c r="G62" s="66"/>
      <c r="H62" s="138">
        <f>+H36+H60</f>
        <v>25728002.88</v>
      </c>
      <c r="I62" s="78"/>
      <c r="J62" s="78"/>
      <c r="K62" s="120"/>
      <c r="L62" s="120"/>
      <c r="M62" s="120"/>
      <c r="N62" s="120"/>
      <c r="O62" s="197">
        <f>+O36+O60</f>
        <v>293326330.75000006</v>
      </c>
      <c r="P62" s="197">
        <f>+P36+P60</f>
        <v>206290774.21000004</v>
      </c>
      <c r="Q62" s="197">
        <f>+Q36+Q60</f>
        <v>166164338.88</v>
      </c>
      <c r="R62" s="123"/>
      <c r="S62" s="331">
        <f>+S60+T36</f>
        <v>136871395.03</v>
      </c>
      <c r="T62" s="123"/>
      <c r="U62" s="332">
        <f>+U60+V36</f>
        <v>84970484.2</v>
      </c>
      <c r="V62" s="123"/>
      <c r="W62" s="123"/>
      <c r="X62" s="332">
        <f>+Y36+X60</f>
        <v>36473167.440000005</v>
      </c>
      <c r="Y62" s="329"/>
      <c r="Z62" s="329"/>
      <c r="AA62" s="123"/>
    </row>
    <row r="63" spans="2:27" ht="16.5" thickTop="1">
      <c r="B63" s="65"/>
      <c r="C63" s="65"/>
      <c r="D63" s="65"/>
      <c r="E63" s="65"/>
      <c r="F63" s="65"/>
      <c r="G63" s="66"/>
      <c r="H63" s="66"/>
      <c r="I63" s="66"/>
      <c r="J63" s="66"/>
      <c r="K63" s="120"/>
      <c r="L63" s="120"/>
      <c r="M63" s="120"/>
      <c r="N63" s="120"/>
      <c r="O63" s="136"/>
      <c r="P63" s="120"/>
      <c r="Q63" s="120"/>
      <c r="R63" s="123"/>
      <c r="S63" s="123"/>
      <c r="T63" s="123"/>
      <c r="U63" s="123"/>
      <c r="V63" s="123"/>
      <c r="W63" s="123"/>
      <c r="X63" s="122"/>
      <c r="Y63" s="329"/>
      <c r="Z63" s="329"/>
      <c r="AA63" s="123"/>
    </row>
    <row r="64" spans="1:26" ht="17.25" thickBot="1">
      <c r="A64" s="4" t="s">
        <v>97</v>
      </c>
      <c r="B64" s="198" t="s">
        <v>668</v>
      </c>
      <c r="C64" s="199"/>
      <c r="D64" s="199"/>
      <c r="E64" s="199"/>
      <c r="F64" s="200"/>
      <c r="G64" s="201"/>
      <c r="H64" s="201"/>
      <c r="I64" s="201"/>
      <c r="J64" s="201"/>
      <c r="K64" s="202"/>
      <c r="L64" s="202"/>
      <c r="M64" s="202"/>
      <c r="N64" s="202"/>
      <c r="O64" s="202"/>
      <c r="P64" s="202"/>
      <c r="Q64" s="197"/>
      <c r="X64" s="326"/>
      <c r="Y64" s="327"/>
      <c r="Z64" s="327"/>
    </row>
    <row r="65" spans="2:27" ht="17.25" thickTop="1">
      <c r="B65" s="198" t="s">
        <v>669</v>
      </c>
      <c r="C65" s="203"/>
      <c r="D65" s="203"/>
      <c r="E65" s="203"/>
      <c r="F65" s="204"/>
      <c r="G65" s="205"/>
      <c r="H65" s="205"/>
      <c r="I65" s="205"/>
      <c r="J65" s="205"/>
      <c r="K65" s="206"/>
      <c r="L65" s="206"/>
      <c r="M65" s="206"/>
      <c r="N65" s="206"/>
      <c r="O65" s="206"/>
      <c r="P65" s="206"/>
      <c r="Q65" s="206"/>
      <c r="R65" s="123"/>
      <c r="S65" s="123"/>
      <c r="T65" s="123"/>
      <c r="U65" s="123"/>
      <c r="V65" s="123"/>
      <c r="W65" s="123"/>
      <c r="X65" s="122"/>
      <c r="Y65" s="329"/>
      <c r="Z65" s="329"/>
      <c r="AA65" s="123"/>
    </row>
    <row r="66" spans="2:27" ht="16.5">
      <c r="B66" s="198" t="s">
        <v>939</v>
      </c>
      <c r="C66" s="203"/>
      <c r="D66" s="203"/>
      <c r="E66" s="203"/>
      <c r="F66" s="204"/>
      <c r="G66" s="205"/>
      <c r="H66" s="205"/>
      <c r="I66" s="205"/>
      <c r="J66" s="205"/>
      <c r="K66" s="206"/>
      <c r="L66" s="206"/>
      <c r="M66" s="206"/>
      <c r="N66" s="206"/>
      <c r="O66" s="206"/>
      <c r="P66" s="206"/>
      <c r="Q66" s="206"/>
      <c r="R66" s="123"/>
      <c r="S66" s="123"/>
      <c r="T66" s="123"/>
      <c r="U66" s="123"/>
      <c r="V66" s="123"/>
      <c r="W66" s="123"/>
      <c r="X66" s="122"/>
      <c r="Y66" s="329"/>
      <c r="Z66" s="329"/>
      <c r="AA66" s="123"/>
    </row>
    <row r="67" spans="2:27" ht="16.5">
      <c r="B67" s="198" t="s">
        <v>940</v>
      </c>
      <c r="C67" s="203"/>
      <c r="D67" s="203"/>
      <c r="E67" s="203"/>
      <c r="F67" s="204"/>
      <c r="G67" s="205"/>
      <c r="H67" s="205"/>
      <c r="I67" s="205"/>
      <c r="J67" s="205"/>
      <c r="K67" s="206"/>
      <c r="L67" s="206"/>
      <c r="M67" s="206"/>
      <c r="N67" s="206"/>
      <c r="O67" s="206"/>
      <c r="P67" s="206"/>
      <c r="Q67" s="206"/>
      <c r="R67" s="123"/>
      <c r="S67" s="123"/>
      <c r="T67" s="123"/>
      <c r="U67" s="123"/>
      <c r="V67" s="123"/>
      <c r="W67" s="123"/>
      <c r="X67" s="122"/>
      <c r="Y67" s="329"/>
      <c r="Z67" s="329"/>
      <c r="AA67" s="123"/>
    </row>
    <row r="68" spans="2:27" ht="16.5">
      <c r="B68" s="198"/>
      <c r="C68" s="203"/>
      <c r="D68" s="203"/>
      <c r="E68" s="203"/>
      <c r="F68" s="204"/>
      <c r="G68" s="205"/>
      <c r="H68" s="205"/>
      <c r="I68" s="205"/>
      <c r="J68" s="205"/>
      <c r="K68" s="206"/>
      <c r="L68" s="206"/>
      <c r="M68" s="206"/>
      <c r="N68" s="206"/>
      <c r="O68" s="206"/>
      <c r="P68" s="206"/>
      <c r="Q68" s="206"/>
      <c r="R68" s="123"/>
      <c r="S68" s="123"/>
      <c r="T68" s="123"/>
      <c r="U68" s="123"/>
      <c r="V68" s="123"/>
      <c r="W68" s="123"/>
      <c r="X68" s="122"/>
      <c r="Y68" s="329"/>
      <c r="Z68" s="329"/>
      <c r="AA68" s="123"/>
    </row>
    <row r="69" spans="1:24" ht="16.5">
      <c r="A69" s="4" t="s">
        <v>109</v>
      </c>
      <c r="B69" s="198" t="s">
        <v>670</v>
      </c>
      <c r="C69" s="198"/>
      <c r="D69" s="198"/>
      <c r="E69" s="198"/>
      <c r="F69" s="207"/>
      <c r="G69" s="207"/>
      <c r="H69" s="207"/>
      <c r="I69" s="207"/>
      <c r="J69" s="207"/>
      <c r="K69" s="207"/>
      <c r="L69" s="207"/>
      <c r="M69" s="207"/>
      <c r="N69" s="207"/>
      <c r="O69" s="207"/>
      <c r="P69" s="207"/>
      <c r="Q69" s="207"/>
      <c r="R69" s="333"/>
      <c r="S69" s="333"/>
      <c r="T69" s="333"/>
      <c r="X69" s="326"/>
    </row>
    <row r="70" spans="2:24" ht="16.5">
      <c r="B70" s="198" t="s">
        <v>718</v>
      </c>
      <c r="C70" s="198"/>
      <c r="D70" s="198"/>
      <c r="E70" s="198"/>
      <c r="F70" s="207"/>
      <c r="G70" s="207"/>
      <c r="H70" s="207"/>
      <c r="I70" s="207"/>
      <c r="J70" s="207"/>
      <c r="K70" s="207"/>
      <c r="L70" s="207"/>
      <c r="M70" s="207"/>
      <c r="N70" s="207"/>
      <c r="O70" s="207"/>
      <c r="P70" s="207"/>
      <c r="Q70" s="207"/>
      <c r="R70" s="333"/>
      <c r="S70" s="333"/>
      <c r="T70" s="333"/>
      <c r="X70" s="326"/>
    </row>
    <row r="71" spans="2:24" ht="16.5">
      <c r="B71" s="198" t="s">
        <v>714</v>
      </c>
      <c r="C71" s="198"/>
      <c r="D71" s="198"/>
      <c r="E71" s="198"/>
      <c r="F71" s="207"/>
      <c r="G71" s="207"/>
      <c r="H71" s="207"/>
      <c r="I71" s="207"/>
      <c r="J71" s="207"/>
      <c r="K71" s="207"/>
      <c r="L71" s="207"/>
      <c r="M71" s="207"/>
      <c r="N71" s="207"/>
      <c r="O71" s="207"/>
      <c r="P71" s="207"/>
      <c r="Q71" s="207"/>
      <c r="R71" s="333"/>
      <c r="S71" s="333"/>
      <c r="T71" s="333"/>
      <c r="X71" s="326"/>
    </row>
    <row r="72" spans="2:24" ht="16.5">
      <c r="B72" s="198" t="s">
        <v>712</v>
      </c>
      <c r="C72" s="198"/>
      <c r="D72" s="198"/>
      <c r="E72" s="198"/>
      <c r="F72" s="207"/>
      <c r="G72" s="207"/>
      <c r="H72" s="207"/>
      <c r="I72" s="207"/>
      <c r="J72" s="207"/>
      <c r="K72" s="207"/>
      <c r="L72" s="207"/>
      <c r="M72" s="207"/>
      <c r="N72" s="207"/>
      <c r="O72" s="207"/>
      <c r="P72" s="207"/>
      <c r="Q72" s="207"/>
      <c r="R72" s="333"/>
      <c r="S72" s="333"/>
      <c r="T72" s="333"/>
      <c r="X72" s="326"/>
    </row>
    <row r="73" spans="2:24" ht="16.5">
      <c r="B73" s="198" t="s">
        <v>713</v>
      </c>
      <c r="C73" s="199"/>
      <c r="D73" s="199"/>
      <c r="E73" s="199"/>
      <c r="F73" s="200"/>
      <c r="G73" s="201"/>
      <c r="H73" s="201"/>
      <c r="I73" s="201"/>
      <c r="J73" s="201"/>
      <c r="K73" s="202"/>
      <c r="L73" s="202"/>
      <c r="M73" s="202"/>
      <c r="N73" s="202"/>
      <c r="O73" s="202"/>
      <c r="P73" s="202"/>
      <c r="Q73" s="202"/>
      <c r="X73" s="326"/>
    </row>
    <row r="74" spans="2:24" ht="16.5">
      <c r="B74" s="198"/>
      <c r="C74" s="199"/>
      <c r="D74" s="199"/>
      <c r="E74" s="199"/>
      <c r="F74" s="200"/>
      <c r="G74" s="201"/>
      <c r="H74" s="201"/>
      <c r="I74" s="201"/>
      <c r="J74" s="201"/>
      <c r="K74" s="202"/>
      <c r="L74" s="202"/>
      <c r="M74" s="202"/>
      <c r="N74" s="202"/>
      <c r="O74" s="202"/>
      <c r="P74" s="202"/>
      <c r="Q74" s="202"/>
      <c r="X74" s="326"/>
    </row>
    <row r="75" spans="1:24" ht="16.5">
      <c r="A75" s="176" t="s">
        <v>109</v>
      </c>
      <c r="B75" s="198" t="s">
        <v>936</v>
      </c>
      <c r="C75" s="198"/>
      <c r="D75" s="198"/>
      <c r="E75" s="198"/>
      <c r="F75" s="207"/>
      <c r="G75" s="207"/>
      <c r="H75" s="207"/>
      <c r="I75" s="207"/>
      <c r="J75" s="207"/>
      <c r="K75" s="207"/>
      <c r="L75" s="207"/>
      <c r="M75" s="207"/>
      <c r="N75" s="207"/>
      <c r="O75" s="207"/>
      <c r="P75" s="207"/>
      <c r="Q75" s="207"/>
      <c r="X75" s="326"/>
    </row>
    <row r="76" spans="2:24" ht="16.5">
      <c r="B76" s="198" t="s">
        <v>717</v>
      </c>
      <c r="C76" s="198"/>
      <c r="D76" s="198"/>
      <c r="E76" s="198"/>
      <c r="F76" s="207"/>
      <c r="G76" s="207"/>
      <c r="H76" s="207"/>
      <c r="I76" s="207"/>
      <c r="J76" s="207"/>
      <c r="K76" s="207"/>
      <c r="L76" s="207"/>
      <c r="M76" s="207"/>
      <c r="N76" s="207"/>
      <c r="O76" s="207"/>
      <c r="P76" s="207"/>
      <c r="Q76" s="207"/>
      <c r="X76" s="326"/>
    </row>
    <row r="77" spans="2:24" ht="15" customHeight="1">
      <c r="B77" s="198" t="s">
        <v>715</v>
      </c>
      <c r="C77" s="198"/>
      <c r="D77" s="198"/>
      <c r="E77" s="198"/>
      <c r="F77" s="207"/>
      <c r="G77" s="207"/>
      <c r="H77" s="207"/>
      <c r="I77" s="207"/>
      <c r="J77" s="207"/>
      <c r="K77" s="207"/>
      <c r="L77" s="207"/>
      <c r="M77" s="207"/>
      <c r="N77" s="207"/>
      <c r="O77" s="207"/>
      <c r="P77" s="207"/>
      <c r="Q77" s="207"/>
      <c r="X77" s="326"/>
    </row>
    <row r="78" spans="2:24" ht="15" customHeight="1">
      <c r="B78" s="198" t="s">
        <v>716</v>
      </c>
      <c r="C78" s="199"/>
      <c r="D78" s="199"/>
      <c r="E78" s="199"/>
      <c r="F78" s="200"/>
      <c r="G78" s="201"/>
      <c r="H78" s="201"/>
      <c r="I78" s="201"/>
      <c r="J78" s="201"/>
      <c r="K78" s="202"/>
      <c r="L78" s="202"/>
      <c r="M78" s="202"/>
      <c r="N78" s="202"/>
      <c r="O78" s="202"/>
      <c r="P78" s="202"/>
      <c r="Q78" s="202"/>
      <c r="X78" s="326"/>
    </row>
    <row r="79" spans="1:24" ht="16.5">
      <c r="A79" s="176"/>
      <c r="B79" s="77"/>
      <c r="C79" s="13"/>
      <c r="D79" s="13"/>
      <c r="E79" s="13"/>
      <c r="F79" s="13"/>
      <c r="G79" s="7"/>
      <c r="H79" s="7"/>
      <c r="I79" s="7"/>
      <c r="J79" s="7"/>
      <c r="X79" s="326"/>
    </row>
    <row r="80" spans="1:24" ht="16.5">
      <c r="A80" s="176" t="s">
        <v>189</v>
      </c>
      <c r="B80" s="198" t="s">
        <v>937</v>
      </c>
      <c r="C80" s="13"/>
      <c r="D80" s="13"/>
      <c r="E80" s="13"/>
      <c r="F80" s="13"/>
      <c r="G80" s="7"/>
      <c r="H80" s="7"/>
      <c r="I80" s="7"/>
      <c r="J80" s="7"/>
      <c r="X80" s="326"/>
    </row>
    <row r="81" spans="2:31" s="176" customFormat="1" ht="16.5">
      <c r="B81" s="198" t="s">
        <v>938</v>
      </c>
      <c r="C81" s="13"/>
      <c r="D81" s="13"/>
      <c r="E81" s="13"/>
      <c r="F81" s="13"/>
      <c r="G81" s="7"/>
      <c r="H81" s="7"/>
      <c r="I81" s="7"/>
      <c r="J81" s="7"/>
      <c r="R81" s="133"/>
      <c r="S81" s="133"/>
      <c r="T81" s="133"/>
      <c r="U81" s="133"/>
      <c r="V81" s="133"/>
      <c r="W81" s="133"/>
      <c r="X81" s="326"/>
      <c r="Y81" s="133"/>
      <c r="Z81" s="133"/>
      <c r="AA81" s="133"/>
      <c r="AB81" s="133"/>
      <c r="AC81" s="133"/>
      <c r="AD81" s="133"/>
      <c r="AE81" s="133"/>
    </row>
    <row r="82" spans="2:31" s="176" customFormat="1" ht="15">
      <c r="B82" s="13"/>
      <c r="C82" s="13"/>
      <c r="D82" s="13"/>
      <c r="E82" s="13"/>
      <c r="F82" s="13"/>
      <c r="G82" s="7"/>
      <c r="H82" s="7"/>
      <c r="I82" s="7"/>
      <c r="J82" s="7"/>
      <c r="R82" s="133"/>
      <c r="S82" s="133"/>
      <c r="T82" s="133"/>
      <c r="U82" s="133"/>
      <c r="V82" s="133"/>
      <c r="W82" s="133"/>
      <c r="X82" s="326"/>
      <c r="Y82" s="133"/>
      <c r="Z82" s="133"/>
      <c r="AA82" s="133"/>
      <c r="AB82" s="133"/>
      <c r="AC82" s="133"/>
      <c r="AD82" s="133"/>
      <c r="AE82" s="133"/>
    </row>
    <row r="83" spans="2:24" ht="15">
      <c r="B83" s="13"/>
      <c r="C83" s="13"/>
      <c r="D83" s="13"/>
      <c r="E83" s="13"/>
      <c r="F83" s="13"/>
      <c r="G83" s="7"/>
      <c r="H83" s="7"/>
      <c r="I83" s="7"/>
      <c r="J83" s="7"/>
      <c r="O83" s="494" t="s">
        <v>665</v>
      </c>
      <c r="P83" s="494"/>
      <c r="X83" s="326"/>
    </row>
    <row r="84" spans="2:24" ht="18.75">
      <c r="B84" s="117" t="s">
        <v>597</v>
      </c>
      <c r="C84" s="139"/>
      <c r="D84" s="139"/>
      <c r="E84" s="139"/>
      <c r="F84" s="139"/>
      <c r="G84" s="140"/>
      <c r="H84" s="140"/>
      <c r="I84" s="140"/>
      <c r="J84" s="140"/>
      <c r="K84" s="141"/>
      <c r="L84" s="141"/>
      <c r="M84" s="141"/>
      <c r="N84" s="141"/>
      <c r="O84" s="118">
        <v>2021</v>
      </c>
      <c r="P84" s="118">
        <v>2020</v>
      </c>
      <c r="Q84" s="118">
        <v>2019</v>
      </c>
      <c r="R84" s="334"/>
      <c r="S84" s="334"/>
      <c r="T84" s="317">
        <v>2018</v>
      </c>
      <c r="U84" s="335">
        <v>2017</v>
      </c>
      <c r="V84" s="334"/>
      <c r="W84" s="334"/>
      <c r="X84" s="335">
        <v>2016</v>
      </c>
    </row>
    <row r="85" spans="2:24" ht="20.25">
      <c r="B85" s="208" t="s">
        <v>102</v>
      </c>
      <c r="C85" s="139"/>
      <c r="D85" s="139"/>
      <c r="E85" s="139"/>
      <c r="F85" s="139"/>
      <c r="G85" s="139"/>
      <c r="H85" s="139"/>
      <c r="I85" s="139"/>
      <c r="J85" s="139"/>
      <c r="K85" s="141"/>
      <c r="L85" s="141"/>
      <c r="M85" s="141"/>
      <c r="N85" s="141"/>
      <c r="O85" s="141"/>
      <c r="P85" s="141"/>
      <c r="Q85" s="141"/>
      <c r="R85" s="334"/>
      <c r="S85" s="334"/>
      <c r="T85" s="334"/>
      <c r="U85" s="334"/>
      <c r="V85" s="334"/>
      <c r="W85" s="334"/>
      <c r="X85" s="336"/>
    </row>
    <row r="86" spans="2:24" ht="15">
      <c r="B86" s="13" t="s">
        <v>103</v>
      </c>
      <c r="C86" s="13"/>
      <c r="D86" s="13"/>
      <c r="E86" s="13"/>
      <c r="F86" s="13"/>
      <c r="G86" s="13"/>
      <c r="H86" s="13"/>
      <c r="I86" s="13"/>
      <c r="J86" s="13"/>
      <c r="X86" s="326"/>
    </row>
    <row r="87" spans="2:24" ht="15">
      <c r="B87" s="13"/>
      <c r="C87" s="13"/>
      <c r="D87" s="13"/>
      <c r="E87" s="13"/>
      <c r="F87" s="13"/>
      <c r="G87" s="13"/>
      <c r="H87" s="13"/>
      <c r="I87" s="13"/>
      <c r="J87" s="13"/>
      <c r="X87" s="326"/>
    </row>
    <row r="88" spans="2:24" ht="15">
      <c r="B88" s="13"/>
      <c r="C88" s="13"/>
      <c r="D88" s="13"/>
      <c r="E88" s="13"/>
      <c r="F88" s="13"/>
      <c r="G88" s="13"/>
      <c r="H88" s="13"/>
      <c r="I88" s="13"/>
      <c r="J88" s="13"/>
      <c r="X88" s="326"/>
    </row>
    <row r="89" spans="2:24" ht="15" hidden="1">
      <c r="B89" s="13" t="s">
        <v>104</v>
      </c>
      <c r="C89" s="13"/>
      <c r="D89" s="13"/>
      <c r="E89" s="13"/>
      <c r="F89" s="13"/>
      <c r="G89" s="13"/>
      <c r="H89" s="17"/>
      <c r="I89" s="17"/>
      <c r="J89" s="17"/>
      <c r="X89" s="326"/>
    </row>
    <row r="90" spans="1:24" ht="16.5">
      <c r="A90" s="26"/>
      <c r="B90" s="65" t="s">
        <v>105</v>
      </c>
      <c r="C90" s="65"/>
      <c r="D90" s="65"/>
      <c r="E90" s="65"/>
      <c r="F90" s="77"/>
      <c r="G90" s="65"/>
      <c r="H90" s="70">
        <v>214168.01</v>
      </c>
      <c r="I90" s="70"/>
      <c r="J90" s="70"/>
      <c r="K90" s="120"/>
      <c r="L90" s="120"/>
      <c r="M90" s="120"/>
      <c r="N90" s="120"/>
      <c r="O90" s="95">
        <v>0</v>
      </c>
      <c r="P90" s="95">
        <v>9784.09</v>
      </c>
      <c r="Q90" s="95">
        <v>400</v>
      </c>
      <c r="R90" s="123"/>
      <c r="S90" s="123"/>
      <c r="T90" s="123"/>
      <c r="U90" s="122">
        <v>13220.86</v>
      </c>
      <c r="V90" s="123"/>
      <c r="W90" s="123"/>
      <c r="X90" s="122">
        <f>180615.56+11.27</f>
        <v>180626.83</v>
      </c>
    </row>
    <row r="91" spans="2:24" ht="15.75" hidden="1">
      <c r="B91" s="65" t="s">
        <v>106</v>
      </c>
      <c r="C91" s="65"/>
      <c r="D91" s="65"/>
      <c r="E91" s="65"/>
      <c r="F91" s="65"/>
      <c r="G91" s="65"/>
      <c r="H91" s="70"/>
      <c r="I91" s="70"/>
      <c r="J91" s="70"/>
      <c r="K91" s="120"/>
      <c r="L91" s="120"/>
      <c r="M91" s="120"/>
      <c r="N91" s="120"/>
      <c r="O91" s="95"/>
      <c r="P91" s="95"/>
      <c r="Q91" s="80"/>
      <c r="R91" s="123"/>
      <c r="S91" s="123"/>
      <c r="T91" s="123"/>
      <c r="U91" s="122"/>
      <c r="V91" s="123"/>
      <c r="W91" s="123"/>
      <c r="X91" s="122"/>
    </row>
    <row r="92" spans="2:24" ht="15.75" hidden="1">
      <c r="B92" s="65" t="s">
        <v>274</v>
      </c>
      <c r="C92" s="65"/>
      <c r="D92" s="65"/>
      <c r="E92" s="65"/>
      <c r="F92" s="65"/>
      <c r="G92" s="65"/>
      <c r="H92" s="70"/>
      <c r="I92" s="70"/>
      <c r="J92" s="70"/>
      <c r="K92" s="120"/>
      <c r="L92" s="120"/>
      <c r="M92" s="120"/>
      <c r="N92" s="120"/>
      <c r="O92" s="95"/>
      <c r="P92" s="95"/>
      <c r="Q92" s="95"/>
      <c r="R92" s="123"/>
      <c r="S92" s="123"/>
      <c r="T92" s="123"/>
      <c r="U92" s="122"/>
      <c r="V92" s="123"/>
      <c r="W92" s="123"/>
      <c r="X92" s="122"/>
    </row>
    <row r="93" spans="2:24" ht="16.5" hidden="1">
      <c r="B93" s="65" t="s">
        <v>107</v>
      </c>
      <c r="C93" s="65"/>
      <c r="D93" s="65"/>
      <c r="E93" s="65"/>
      <c r="F93" s="65"/>
      <c r="G93" s="65"/>
      <c r="H93" s="70"/>
      <c r="I93" s="70"/>
      <c r="J93" s="70"/>
      <c r="K93" s="120"/>
      <c r="L93" s="120"/>
      <c r="M93" s="120"/>
      <c r="N93" s="120"/>
      <c r="O93" s="95"/>
      <c r="P93" s="95"/>
      <c r="Q93" s="142"/>
      <c r="R93" s="123"/>
      <c r="S93" s="123"/>
      <c r="T93" s="123"/>
      <c r="U93" s="122"/>
      <c r="V93" s="123"/>
      <c r="W93" s="123"/>
      <c r="X93" s="122">
        <v>0</v>
      </c>
    </row>
    <row r="94" spans="2:24" ht="16.5" hidden="1">
      <c r="B94" s="65" t="s">
        <v>245</v>
      </c>
      <c r="C94" s="65"/>
      <c r="D94" s="65"/>
      <c r="E94" s="65"/>
      <c r="F94" s="77"/>
      <c r="G94" s="65"/>
      <c r="H94" s="70"/>
      <c r="I94" s="70"/>
      <c r="J94" s="70"/>
      <c r="K94" s="120"/>
      <c r="L94" s="120"/>
      <c r="M94" s="120"/>
      <c r="N94" s="120"/>
      <c r="O94" s="95"/>
      <c r="P94" s="95"/>
      <c r="Q94" s="95"/>
      <c r="R94" s="123"/>
      <c r="S94" s="123"/>
      <c r="T94" s="123"/>
      <c r="U94" s="122"/>
      <c r="V94" s="123"/>
      <c r="W94" s="123"/>
      <c r="X94" s="122"/>
    </row>
    <row r="95" spans="2:24" ht="16.5">
      <c r="B95" s="65" t="s">
        <v>273</v>
      </c>
      <c r="C95" s="65"/>
      <c r="D95" s="65"/>
      <c r="E95" s="65"/>
      <c r="F95" s="77"/>
      <c r="G95" s="65"/>
      <c r="H95" s="70">
        <f>538826.29-510880</f>
        <v>27946.290000000037</v>
      </c>
      <c r="I95" s="70"/>
      <c r="J95" s="70"/>
      <c r="K95" s="120"/>
      <c r="L95" s="120"/>
      <c r="M95" s="120"/>
      <c r="N95" s="120"/>
      <c r="O95" s="95">
        <v>25</v>
      </c>
      <c r="P95" s="95">
        <v>25</v>
      </c>
      <c r="Q95" s="80">
        <v>245755.93</v>
      </c>
      <c r="R95" s="123"/>
      <c r="S95" s="123"/>
      <c r="T95" s="123"/>
      <c r="U95" s="122"/>
      <c r="V95" s="123"/>
      <c r="W95" s="123"/>
      <c r="X95" s="122">
        <v>0</v>
      </c>
    </row>
    <row r="96" spans="1:24" ht="16.5">
      <c r="A96" s="26" t="s">
        <v>109</v>
      </c>
      <c r="B96" s="13" t="s">
        <v>623</v>
      </c>
      <c r="C96" s="13"/>
      <c r="D96" s="13"/>
      <c r="E96" s="13"/>
      <c r="F96" s="26"/>
      <c r="G96" s="13"/>
      <c r="H96" s="70">
        <v>31630</v>
      </c>
      <c r="I96" s="70"/>
      <c r="J96" s="70"/>
      <c r="K96" s="120"/>
      <c r="L96" s="120"/>
      <c r="M96" s="120"/>
      <c r="N96" s="120"/>
      <c r="O96" s="95">
        <v>969548.51</v>
      </c>
      <c r="P96" s="95">
        <v>969548.51</v>
      </c>
      <c r="Q96" s="95">
        <v>969548.51</v>
      </c>
      <c r="R96" s="123"/>
      <c r="S96" s="123"/>
      <c r="T96" s="123"/>
      <c r="U96" s="122"/>
      <c r="V96" s="123"/>
      <c r="W96" s="123"/>
      <c r="X96" s="122">
        <v>7851.83</v>
      </c>
    </row>
    <row r="97" spans="1:24" ht="17.25" thickBot="1">
      <c r="A97" s="26" t="s">
        <v>109</v>
      </c>
      <c r="B97" s="65" t="s">
        <v>108</v>
      </c>
      <c r="C97" s="65"/>
      <c r="D97" s="65"/>
      <c r="E97" s="65"/>
      <c r="F97" s="77"/>
      <c r="G97" s="65"/>
      <c r="H97" s="70">
        <v>1616329.37</v>
      </c>
      <c r="I97" s="70"/>
      <c r="J97" s="70"/>
      <c r="K97" s="120"/>
      <c r="L97" s="120"/>
      <c r="M97" s="120"/>
      <c r="N97" s="120"/>
      <c r="O97" s="93">
        <v>1616329.37</v>
      </c>
      <c r="P97" s="93">
        <v>1616329.37</v>
      </c>
      <c r="Q97" s="93">
        <v>1616329.37</v>
      </c>
      <c r="R97" s="123"/>
      <c r="S97" s="123"/>
      <c r="T97" s="324">
        <v>1616329.37</v>
      </c>
      <c r="U97" s="324">
        <v>1616329.37</v>
      </c>
      <c r="V97" s="123"/>
      <c r="W97" s="123"/>
      <c r="X97" s="324">
        <v>1616329.37</v>
      </c>
    </row>
    <row r="98" spans="2:24" ht="17.25" hidden="1" thickBot="1">
      <c r="B98" s="65" t="s">
        <v>110</v>
      </c>
      <c r="C98" s="65"/>
      <c r="D98" s="65"/>
      <c r="E98" s="65"/>
      <c r="F98" s="77"/>
      <c r="G98" s="65"/>
      <c r="H98" s="70"/>
      <c r="I98" s="70"/>
      <c r="J98" s="70"/>
      <c r="K98" s="120"/>
      <c r="L98" s="120"/>
      <c r="M98" s="120"/>
      <c r="N98" s="120"/>
      <c r="O98" s="93"/>
      <c r="P98" s="93"/>
      <c r="Q98" s="93"/>
      <c r="R98" s="123"/>
      <c r="S98" s="123"/>
      <c r="T98" s="122"/>
      <c r="U98" s="122"/>
      <c r="V98" s="123"/>
      <c r="W98" s="123"/>
      <c r="X98" s="122"/>
    </row>
    <row r="99" spans="2:24" ht="16.5" hidden="1">
      <c r="B99" s="65"/>
      <c r="C99" s="65"/>
      <c r="D99" s="65"/>
      <c r="E99" s="65"/>
      <c r="F99" s="77"/>
      <c r="G99" s="65"/>
      <c r="H99" s="70"/>
      <c r="I99" s="70"/>
      <c r="J99" s="70"/>
      <c r="K99" s="120"/>
      <c r="L99" s="120"/>
      <c r="M99" s="120"/>
      <c r="N99" s="120"/>
      <c r="O99" s="226"/>
      <c r="P99" s="80"/>
      <c r="Q99" s="80"/>
      <c r="R99" s="123"/>
      <c r="S99" s="123"/>
      <c r="T99" s="122"/>
      <c r="U99" s="122"/>
      <c r="V99" s="123"/>
      <c r="W99" s="123"/>
      <c r="X99" s="122"/>
    </row>
    <row r="100" spans="2:24" ht="21" thickBot="1">
      <c r="B100" s="208" t="s">
        <v>111</v>
      </c>
      <c r="C100" s="65"/>
      <c r="D100" s="65"/>
      <c r="E100" s="65"/>
      <c r="F100" s="65"/>
      <c r="G100" s="65"/>
      <c r="H100" s="143">
        <f>SUM(H89:H98)</f>
        <v>1890073.6700000002</v>
      </c>
      <c r="I100" s="142"/>
      <c r="J100" s="142"/>
      <c r="K100" s="120"/>
      <c r="L100" s="120"/>
      <c r="M100" s="120"/>
      <c r="N100" s="120"/>
      <c r="O100" s="236">
        <f>SUM(O90:O97)</f>
        <v>2585902.88</v>
      </c>
      <c r="P100" s="236">
        <f>SUM(P90:P97)</f>
        <v>2595686.97</v>
      </c>
      <c r="Q100" s="236">
        <f>SUM(Q88:Q97)</f>
        <v>2832033.81</v>
      </c>
      <c r="R100" s="123"/>
      <c r="S100" s="123"/>
      <c r="T100" s="337">
        <f>SUM(T97:T99)</f>
        <v>1616329.37</v>
      </c>
      <c r="U100" s="337">
        <f>SUM(U90:U97)</f>
        <v>1629550.2300000002</v>
      </c>
      <c r="V100" s="123"/>
      <c r="W100" s="123"/>
      <c r="X100" s="337">
        <f>SUM(X89:X98)</f>
        <v>1804808.03</v>
      </c>
    </row>
    <row r="101" spans="2:24" ht="17.25" thickTop="1">
      <c r="B101" s="77"/>
      <c r="C101" s="13"/>
      <c r="D101" s="13"/>
      <c r="E101" s="13"/>
      <c r="F101" s="13"/>
      <c r="G101" s="13"/>
      <c r="H101" s="99"/>
      <c r="I101" s="99"/>
      <c r="J101" s="99"/>
      <c r="Q101" s="142"/>
      <c r="X101" s="326"/>
    </row>
    <row r="102" spans="2:24" ht="16.5">
      <c r="B102" s="77"/>
      <c r="C102" s="13"/>
      <c r="D102" s="13"/>
      <c r="E102" s="13"/>
      <c r="F102" s="13"/>
      <c r="G102" s="13"/>
      <c r="H102" s="99"/>
      <c r="I102" s="99"/>
      <c r="J102" s="99"/>
      <c r="Q102" s="142"/>
      <c r="X102" s="326"/>
    </row>
    <row r="103" spans="2:24" ht="16.5">
      <c r="B103" s="77"/>
      <c r="C103" s="13"/>
      <c r="D103" s="13"/>
      <c r="E103" s="13"/>
      <c r="F103" s="13"/>
      <c r="G103" s="13"/>
      <c r="H103" s="99"/>
      <c r="I103" s="99"/>
      <c r="J103" s="99"/>
      <c r="Q103" s="142"/>
      <c r="X103" s="326"/>
    </row>
    <row r="104" spans="2:24" ht="16.5">
      <c r="B104" s="77"/>
      <c r="C104" s="13"/>
      <c r="D104" s="13"/>
      <c r="E104" s="13"/>
      <c r="F104" s="13"/>
      <c r="G104" s="13"/>
      <c r="H104" s="99"/>
      <c r="I104" s="99"/>
      <c r="J104" s="99"/>
      <c r="Q104" s="142"/>
      <c r="X104" s="326"/>
    </row>
    <row r="105" spans="2:29" ht="16.5">
      <c r="B105" s="77" t="s">
        <v>671</v>
      </c>
      <c r="C105" s="26"/>
      <c r="D105" s="26"/>
      <c r="E105" s="26"/>
      <c r="F105" s="26"/>
      <c r="G105" s="26"/>
      <c r="H105" s="99"/>
      <c r="I105" s="99"/>
      <c r="J105" s="99"/>
      <c r="K105" s="106"/>
      <c r="L105" s="106"/>
      <c r="M105" s="106"/>
      <c r="N105" s="106"/>
      <c r="O105" s="106"/>
      <c r="P105" s="106"/>
      <c r="Q105" s="106"/>
      <c r="R105" s="338"/>
      <c r="S105" s="338"/>
      <c r="T105" s="338"/>
      <c r="U105" s="338"/>
      <c r="V105" s="338"/>
      <c r="W105" s="338"/>
      <c r="X105" s="339"/>
      <c r="Y105" s="338"/>
      <c r="Z105" s="338"/>
      <c r="AA105" s="338"/>
      <c r="AB105" s="338"/>
      <c r="AC105" s="338"/>
    </row>
    <row r="106" spans="2:29" ht="16.5">
      <c r="B106" s="77" t="s">
        <v>941</v>
      </c>
      <c r="C106" s="26"/>
      <c r="D106" s="26"/>
      <c r="E106" s="26"/>
      <c r="F106" s="26"/>
      <c r="G106" s="26"/>
      <c r="H106" s="99"/>
      <c r="I106" s="99"/>
      <c r="J106" s="99"/>
      <c r="K106" s="106"/>
      <c r="L106" s="106"/>
      <c r="M106" s="106"/>
      <c r="N106" s="106"/>
      <c r="O106" s="106"/>
      <c r="P106" s="106"/>
      <c r="Q106" s="106"/>
      <c r="R106" s="338"/>
      <c r="S106" s="338"/>
      <c r="T106" s="338"/>
      <c r="U106" s="338"/>
      <c r="V106" s="338"/>
      <c r="W106" s="338"/>
      <c r="X106" s="339"/>
      <c r="Y106" s="338"/>
      <c r="Z106" s="338"/>
      <c r="AA106" s="338"/>
      <c r="AB106" s="338"/>
      <c r="AC106" s="338"/>
    </row>
    <row r="107" spans="2:31" s="176" customFormat="1" ht="16.5">
      <c r="B107" s="77" t="s">
        <v>945</v>
      </c>
      <c r="C107" s="26"/>
      <c r="D107" s="26"/>
      <c r="E107" s="26"/>
      <c r="F107" s="26"/>
      <c r="G107" s="26"/>
      <c r="H107" s="99"/>
      <c r="I107" s="99"/>
      <c r="J107" s="99"/>
      <c r="K107" s="106"/>
      <c r="L107" s="106"/>
      <c r="M107" s="106"/>
      <c r="N107" s="106"/>
      <c r="O107" s="106"/>
      <c r="P107" s="106"/>
      <c r="Q107" s="106"/>
      <c r="R107" s="338"/>
      <c r="S107" s="338"/>
      <c r="T107" s="338"/>
      <c r="U107" s="338"/>
      <c r="V107" s="338"/>
      <c r="W107" s="338"/>
      <c r="X107" s="339"/>
      <c r="Y107" s="338"/>
      <c r="Z107" s="338"/>
      <c r="AA107" s="338"/>
      <c r="AB107" s="338"/>
      <c r="AC107" s="338"/>
      <c r="AD107" s="133"/>
      <c r="AE107" s="133"/>
    </row>
    <row r="108" spans="2:29" ht="16.5">
      <c r="B108" s="77" t="s">
        <v>946</v>
      </c>
      <c r="C108" s="26"/>
      <c r="D108" s="26"/>
      <c r="E108" s="26"/>
      <c r="F108" s="26"/>
      <c r="G108" s="26"/>
      <c r="H108" s="99"/>
      <c r="I108" s="99"/>
      <c r="J108" s="99"/>
      <c r="K108" s="106"/>
      <c r="L108" s="106"/>
      <c r="M108" s="106"/>
      <c r="N108" s="106"/>
      <c r="O108" s="106"/>
      <c r="P108" s="106"/>
      <c r="Q108" s="106"/>
      <c r="R108" s="338"/>
      <c r="S108" s="338"/>
      <c r="T108" s="338"/>
      <c r="U108" s="338"/>
      <c r="V108" s="338"/>
      <c r="W108" s="338"/>
      <c r="X108" s="339"/>
      <c r="Y108" s="338"/>
      <c r="Z108" s="338"/>
      <c r="AA108" s="338"/>
      <c r="AB108" s="338"/>
      <c r="AC108" s="338"/>
    </row>
    <row r="109" spans="2:29" ht="16.5">
      <c r="B109" s="77" t="s">
        <v>947</v>
      </c>
      <c r="C109" s="26"/>
      <c r="D109" s="26"/>
      <c r="E109" s="26"/>
      <c r="F109" s="26"/>
      <c r="G109" s="26"/>
      <c r="H109" s="99"/>
      <c r="I109" s="99"/>
      <c r="J109" s="99"/>
      <c r="K109" s="106"/>
      <c r="L109" s="106"/>
      <c r="M109" s="106"/>
      <c r="N109" s="106"/>
      <c r="O109" s="106"/>
      <c r="P109" s="106"/>
      <c r="Q109" s="106"/>
      <c r="R109" s="338"/>
      <c r="S109" s="338"/>
      <c r="T109" s="338"/>
      <c r="U109" s="338"/>
      <c r="V109" s="338"/>
      <c r="W109" s="338"/>
      <c r="X109" s="339"/>
      <c r="Y109" s="338"/>
      <c r="Z109" s="338"/>
      <c r="AA109" s="338"/>
      <c r="AB109" s="338"/>
      <c r="AC109" s="338"/>
    </row>
    <row r="110" spans="2:29" ht="16.5">
      <c r="B110" s="77" t="s">
        <v>948</v>
      </c>
      <c r="C110" s="26"/>
      <c r="D110" s="26"/>
      <c r="E110" s="26"/>
      <c r="F110" s="26"/>
      <c r="G110" s="26"/>
      <c r="H110" s="99"/>
      <c r="I110" s="99"/>
      <c r="J110" s="99"/>
      <c r="K110" s="106"/>
      <c r="L110" s="106"/>
      <c r="M110" s="106"/>
      <c r="N110" s="106"/>
      <c r="O110" s="106"/>
      <c r="P110" s="106"/>
      <c r="Q110" s="106"/>
      <c r="R110" s="338"/>
      <c r="S110" s="338"/>
      <c r="T110" s="338"/>
      <c r="U110" s="338"/>
      <c r="V110" s="338"/>
      <c r="W110" s="338"/>
      <c r="X110" s="339"/>
      <c r="Y110" s="338"/>
      <c r="Z110" s="338"/>
      <c r="AA110" s="338"/>
      <c r="AB110" s="338"/>
      <c r="AC110" s="338"/>
    </row>
    <row r="111" spans="2:29" ht="16.5">
      <c r="B111" s="77" t="s">
        <v>949</v>
      </c>
      <c r="C111" s="26"/>
      <c r="D111" s="26"/>
      <c r="E111" s="26"/>
      <c r="F111" s="26"/>
      <c r="G111" s="26"/>
      <c r="H111" s="99"/>
      <c r="I111" s="99"/>
      <c r="J111" s="99"/>
      <c r="K111" s="106"/>
      <c r="L111" s="106"/>
      <c r="M111" s="106"/>
      <c r="N111" s="106"/>
      <c r="O111" s="106"/>
      <c r="P111" s="106"/>
      <c r="Q111" s="106"/>
      <c r="R111" s="338"/>
      <c r="S111" s="338"/>
      <c r="T111" s="338"/>
      <c r="U111" s="338"/>
      <c r="V111" s="338"/>
      <c r="W111" s="338"/>
      <c r="X111" s="339"/>
      <c r="Y111" s="338"/>
      <c r="Z111" s="338"/>
      <c r="AA111" s="338"/>
      <c r="AB111" s="338"/>
      <c r="AC111" s="338"/>
    </row>
    <row r="112" spans="2:29" ht="16.5">
      <c r="B112" s="77" t="s">
        <v>942</v>
      </c>
      <c r="C112" s="26"/>
      <c r="D112" s="26"/>
      <c r="E112" s="26"/>
      <c r="F112" s="26"/>
      <c r="G112" s="26"/>
      <c r="H112" s="99"/>
      <c r="I112" s="99"/>
      <c r="J112" s="99"/>
      <c r="K112" s="106"/>
      <c r="L112" s="106"/>
      <c r="M112" s="106"/>
      <c r="N112" s="106"/>
      <c r="O112" s="106"/>
      <c r="P112" s="106"/>
      <c r="Q112" s="106"/>
      <c r="R112" s="338"/>
      <c r="S112" s="338"/>
      <c r="T112" s="338"/>
      <c r="U112" s="338"/>
      <c r="V112" s="338"/>
      <c r="W112" s="338"/>
      <c r="X112" s="339"/>
      <c r="Y112" s="338"/>
      <c r="Z112" s="338"/>
      <c r="AA112" s="338"/>
      <c r="AB112" s="338"/>
      <c r="AC112" s="338"/>
    </row>
    <row r="113" spans="2:29" ht="16.5">
      <c r="B113" s="77" t="s">
        <v>943</v>
      </c>
      <c r="C113" s="26"/>
      <c r="D113" s="26"/>
      <c r="E113" s="26"/>
      <c r="F113" s="26"/>
      <c r="G113" s="26"/>
      <c r="H113" s="26"/>
      <c r="I113" s="26"/>
      <c r="J113" s="26"/>
      <c r="K113" s="106"/>
      <c r="L113" s="106"/>
      <c r="M113" s="106"/>
      <c r="N113" s="106"/>
      <c r="O113" s="106"/>
      <c r="P113" s="106"/>
      <c r="Q113" s="106"/>
      <c r="R113" s="338"/>
      <c r="S113" s="338"/>
      <c r="T113" s="338"/>
      <c r="U113" s="338"/>
      <c r="V113" s="338"/>
      <c r="W113" s="338"/>
      <c r="X113" s="339"/>
      <c r="Y113" s="338"/>
      <c r="Z113" s="338"/>
      <c r="AA113" s="338"/>
      <c r="AB113" s="338"/>
      <c r="AC113" s="338"/>
    </row>
    <row r="114" spans="2:29" ht="16.5">
      <c r="B114" s="77" t="s">
        <v>944</v>
      </c>
      <c r="C114" s="26"/>
      <c r="D114" s="26"/>
      <c r="E114" s="26"/>
      <c r="F114" s="26"/>
      <c r="G114" s="26"/>
      <c r="H114" s="26"/>
      <c r="I114" s="26"/>
      <c r="J114" s="26"/>
      <c r="K114" s="99"/>
      <c r="L114" s="99"/>
      <c r="M114" s="99"/>
      <c r="N114" s="99"/>
      <c r="O114" s="99"/>
      <c r="P114" s="99"/>
      <c r="Q114" s="106"/>
      <c r="R114" s="338"/>
      <c r="S114" s="338"/>
      <c r="T114" s="338"/>
      <c r="U114" s="338"/>
      <c r="V114" s="338"/>
      <c r="W114" s="338"/>
      <c r="X114" s="338"/>
      <c r="Y114" s="338"/>
      <c r="Z114" s="338"/>
      <c r="AA114" s="338"/>
      <c r="AB114" s="338"/>
      <c r="AC114" s="338"/>
    </row>
    <row r="115" spans="2:31" s="176" customFormat="1" ht="16.5">
      <c r="B115" s="77"/>
      <c r="C115" s="26"/>
      <c r="D115" s="26"/>
      <c r="E115" s="26"/>
      <c r="F115" s="26"/>
      <c r="G115" s="26"/>
      <c r="H115" s="26"/>
      <c r="I115" s="26"/>
      <c r="J115" s="26"/>
      <c r="K115" s="99"/>
      <c r="L115" s="99"/>
      <c r="M115" s="99"/>
      <c r="N115" s="99"/>
      <c r="O115" s="99"/>
      <c r="P115" s="99"/>
      <c r="Q115" s="106"/>
      <c r="R115" s="338"/>
      <c r="S115" s="338"/>
      <c r="T115" s="338"/>
      <c r="U115" s="338"/>
      <c r="V115" s="338"/>
      <c r="W115" s="338"/>
      <c r="X115" s="338"/>
      <c r="Y115" s="338"/>
      <c r="Z115" s="338"/>
      <c r="AA115" s="338"/>
      <c r="AB115" s="338"/>
      <c r="AC115" s="338"/>
      <c r="AD115" s="133"/>
      <c r="AE115" s="133"/>
    </row>
    <row r="116" spans="2:31" s="176" customFormat="1" ht="16.5">
      <c r="B116" s="77"/>
      <c r="C116" s="26"/>
      <c r="D116" s="26"/>
      <c r="E116" s="26"/>
      <c r="F116" s="26"/>
      <c r="G116" s="26"/>
      <c r="H116" s="26"/>
      <c r="I116" s="26"/>
      <c r="J116" s="26"/>
      <c r="K116" s="99"/>
      <c r="L116" s="99"/>
      <c r="M116" s="99"/>
      <c r="N116" s="99"/>
      <c r="O116" s="99"/>
      <c r="P116" s="99"/>
      <c r="Q116" s="106"/>
      <c r="R116" s="338"/>
      <c r="S116" s="338"/>
      <c r="T116" s="338"/>
      <c r="U116" s="338"/>
      <c r="V116" s="338"/>
      <c r="W116" s="338"/>
      <c r="X116" s="338"/>
      <c r="Y116" s="338"/>
      <c r="Z116" s="338"/>
      <c r="AA116" s="338"/>
      <c r="AB116" s="338"/>
      <c r="AC116" s="338"/>
      <c r="AD116" s="133"/>
      <c r="AE116" s="133"/>
    </row>
    <row r="117" spans="2:29" ht="16.5">
      <c r="B117" s="77" t="s">
        <v>950</v>
      </c>
      <c r="C117" s="26"/>
      <c r="D117" s="26"/>
      <c r="E117" s="26"/>
      <c r="F117" s="26"/>
      <c r="G117" s="26"/>
      <c r="H117" s="26"/>
      <c r="I117" s="26"/>
      <c r="J117" s="26"/>
      <c r="K117" s="99"/>
      <c r="L117" s="99"/>
      <c r="M117" s="99"/>
      <c r="N117" s="99"/>
      <c r="O117" s="99"/>
      <c r="P117" s="99"/>
      <c r="Q117" s="106"/>
      <c r="R117" s="338"/>
      <c r="S117" s="338"/>
      <c r="T117" s="338"/>
      <c r="U117" s="338"/>
      <c r="V117" s="338"/>
      <c r="W117" s="338"/>
      <c r="X117" s="338"/>
      <c r="Y117" s="338"/>
      <c r="Z117" s="338"/>
      <c r="AA117" s="338"/>
      <c r="AB117" s="338"/>
      <c r="AC117" s="338"/>
    </row>
    <row r="118" spans="2:31" s="176" customFormat="1" ht="16.5">
      <c r="B118" s="77" t="s">
        <v>951</v>
      </c>
      <c r="C118" s="26"/>
      <c r="D118" s="26"/>
      <c r="E118" s="26"/>
      <c r="F118" s="26"/>
      <c r="G118" s="26"/>
      <c r="H118" s="26"/>
      <c r="I118" s="26"/>
      <c r="J118" s="26"/>
      <c r="K118" s="99"/>
      <c r="L118" s="99"/>
      <c r="M118" s="99"/>
      <c r="N118" s="99"/>
      <c r="O118" s="99"/>
      <c r="P118" s="99"/>
      <c r="Q118" s="106"/>
      <c r="R118" s="338"/>
      <c r="S118" s="338"/>
      <c r="T118" s="338"/>
      <c r="U118" s="338"/>
      <c r="V118" s="338"/>
      <c r="W118" s="338"/>
      <c r="X118" s="338"/>
      <c r="Y118" s="338"/>
      <c r="Z118" s="338"/>
      <c r="AA118" s="338"/>
      <c r="AB118" s="338"/>
      <c r="AC118" s="338"/>
      <c r="AD118" s="133"/>
      <c r="AE118" s="133"/>
    </row>
    <row r="119" spans="2:29" ht="16.5">
      <c r="B119" s="77" t="s">
        <v>952</v>
      </c>
      <c r="C119" s="26"/>
      <c r="D119" s="26"/>
      <c r="E119" s="26"/>
      <c r="F119" s="26"/>
      <c r="G119" s="26"/>
      <c r="H119" s="26"/>
      <c r="I119" s="26"/>
      <c r="J119" s="26"/>
      <c r="K119" s="99"/>
      <c r="L119" s="99"/>
      <c r="M119" s="99"/>
      <c r="N119" s="99"/>
      <c r="O119" s="99"/>
      <c r="P119" s="99"/>
      <c r="Q119" s="106"/>
      <c r="R119" s="338"/>
      <c r="S119" s="338"/>
      <c r="T119" s="338"/>
      <c r="U119" s="338"/>
      <c r="V119" s="338"/>
      <c r="W119" s="338"/>
      <c r="X119" s="338"/>
      <c r="Y119" s="338"/>
      <c r="Z119" s="338"/>
      <c r="AA119" s="338"/>
      <c r="AB119" s="338"/>
      <c r="AC119" s="338"/>
    </row>
    <row r="120" spans="2:24" ht="16.5">
      <c r="B120" s="77" t="s">
        <v>953</v>
      </c>
      <c r="C120" s="13"/>
      <c r="D120" s="13"/>
      <c r="E120" s="13"/>
      <c r="F120" s="13"/>
      <c r="G120" s="13"/>
      <c r="H120" s="13"/>
      <c r="I120" s="13"/>
      <c r="J120" s="13"/>
      <c r="X120" s="326"/>
    </row>
    <row r="121" spans="2:24" ht="16.5">
      <c r="B121" s="77" t="s">
        <v>954</v>
      </c>
      <c r="C121" s="13"/>
      <c r="D121" s="13"/>
      <c r="E121" s="13"/>
      <c r="F121" s="13"/>
      <c r="G121" s="13"/>
      <c r="H121" s="13"/>
      <c r="I121" s="13"/>
      <c r="J121" s="13"/>
      <c r="X121" s="326"/>
    </row>
    <row r="122" spans="2:24" ht="16.5">
      <c r="B122" s="77"/>
      <c r="C122" s="13"/>
      <c r="D122" s="13"/>
      <c r="E122" s="13"/>
      <c r="F122" s="13"/>
      <c r="G122" s="13"/>
      <c r="H122" s="13"/>
      <c r="I122" s="13"/>
      <c r="J122" s="13"/>
      <c r="X122" s="326"/>
    </row>
    <row r="123" spans="2:24" ht="15">
      <c r="B123" s="13"/>
      <c r="C123" s="13"/>
      <c r="D123" s="13"/>
      <c r="E123" s="13"/>
      <c r="F123" s="13"/>
      <c r="G123" s="13"/>
      <c r="H123" s="13"/>
      <c r="I123" s="13"/>
      <c r="J123" s="13"/>
      <c r="X123" s="326"/>
    </row>
    <row r="124" spans="2:24" ht="15">
      <c r="B124" s="13"/>
      <c r="C124" s="13"/>
      <c r="D124" s="13"/>
      <c r="E124" s="13"/>
      <c r="F124" s="13"/>
      <c r="G124" s="13"/>
      <c r="H124" s="13"/>
      <c r="I124" s="13"/>
      <c r="J124" s="13"/>
      <c r="O124" s="494" t="s">
        <v>665</v>
      </c>
      <c r="P124" s="494"/>
      <c r="X124" s="326"/>
    </row>
    <row r="125" spans="2:24" ht="18.75">
      <c r="B125" s="117" t="s">
        <v>598</v>
      </c>
      <c r="C125" s="139"/>
      <c r="D125" s="139"/>
      <c r="E125" s="139"/>
      <c r="F125" s="139"/>
      <c r="G125" s="139"/>
      <c r="H125" s="118">
        <v>2015</v>
      </c>
      <c r="I125" s="139"/>
      <c r="J125" s="139"/>
      <c r="K125" s="141"/>
      <c r="L125" s="141"/>
      <c r="M125" s="141"/>
      <c r="N125" s="141"/>
      <c r="O125" s="118">
        <v>2021</v>
      </c>
      <c r="P125" s="118">
        <v>2020</v>
      </c>
      <c r="Q125" s="118">
        <v>2019</v>
      </c>
      <c r="R125" s="334"/>
      <c r="S125" s="334"/>
      <c r="T125" s="317">
        <v>2018</v>
      </c>
      <c r="U125" s="335">
        <v>2017</v>
      </c>
      <c r="V125" s="340"/>
      <c r="W125" s="340"/>
      <c r="X125" s="335">
        <v>2016</v>
      </c>
    </row>
    <row r="126" spans="2:24" ht="20.25">
      <c r="B126" s="208" t="s">
        <v>246</v>
      </c>
      <c r="C126" s="139"/>
      <c r="D126" s="139"/>
      <c r="E126" s="139"/>
      <c r="F126" s="139"/>
      <c r="G126" s="139"/>
      <c r="H126" s="139"/>
      <c r="I126" s="139"/>
      <c r="J126" s="139"/>
      <c r="K126" s="141"/>
      <c r="L126" s="141"/>
      <c r="M126" s="141"/>
      <c r="N126" s="141"/>
      <c r="O126" s="141"/>
      <c r="P126" s="141"/>
      <c r="Q126" s="141"/>
      <c r="R126" s="334"/>
      <c r="S126" s="334"/>
      <c r="T126" s="334"/>
      <c r="U126" s="334"/>
      <c r="V126" s="334"/>
      <c r="W126" s="334"/>
      <c r="X126" s="336"/>
    </row>
    <row r="127" spans="2:24" ht="15">
      <c r="B127" s="13" t="s">
        <v>113</v>
      </c>
      <c r="C127" s="13"/>
      <c r="D127" s="13"/>
      <c r="E127" s="13"/>
      <c r="F127" s="13"/>
      <c r="G127" s="13"/>
      <c r="H127" s="13"/>
      <c r="I127" s="13"/>
      <c r="J127" s="13"/>
      <c r="X127" s="326"/>
    </row>
    <row r="128" spans="2:24" ht="15">
      <c r="B128" s="13"/>
      <c r="C128" s="13"/>
      <c r="D128" s="13"/>
      <c r="E128" s="13"/>
      <c r="F128" s="13"/>
      <c r="G128" s="13"/>
      <c r="H128" s="13"/>
      <c r="I128" s="13"/>
      <c r="J128" s="13"/>
      <c r="X128" s="326"/>
    </row>
    <row r="129" spans="2:24" ht="15.75">
      <c r="B129" s="10" t="s">
        <v>247</v>
      </c>
      <c r="C129" s="65"/>
      <c r="D129" s="65"/>
      <c r="E129" s="65"/>
      <c r="F129" s="65"/>
      <c r="G129" s="65"/>
      <c r="H129" s="66">
        <v>0</v>
      </c>
      <c r="I129" s="66"/>
      <c r="J129" s="66"/>
      <c r="K129" s="120"/>
      <c r="L129" s="120"/>
      <c r="M129" s="120"/>
      <c r="N129" s="120"/>
      <c r="O129" s="226">
        <v>102231.28</v>
      </c>
      <c r="P129" s="80">
        <v>352124.38</v>
      </c>
      <c r="Q129" s="80">
        <v>71208.09</v>
      </c>
      <c r="R129" s="123"/>
      <c r="S129" s="123"/>
      <c r="T129" s="122">
        <v>119218.21</v>
      </c>
      <c r="U129" s="122">
        <v>18829.58</v>
      </c>
      <c r="V129" s="123"/>
      <c r="W129" s="123"/>
      <c r="X129" s="122">
        <v>908762.41</v>
      </c>
    </row>
    <row r="130" spans="2:24" ht="15.75">
      <c r="B130" s="65" t="s">
        <v>248</v>
      </c>
      <c r="C130" s="65"/>
      <c r="D130" s="65"/>
      <c r="E130" s="65"/>
      <c r="F130" s="65"/>
      <c r="G130" s="65"/>
      <c r="H130" s="66">
        <v>0</v>
      </c>
      <c r="I130" s="66"/>
      <c r="J130" s="66"/>
      <c r="K130" s="120"/>
      <c r="L130" s="120"/>
      <c r="M130" s="120"/>
      <c r="N130" s="120"/>
      <c r="O130" s="226">
        <v>3060629.2</v>
      </c>
      <c r="P130" s="80">
        <v>2617395.71</v>
      </c>
      <c r="Q130" s="80">
        <v>2748045.72</v>
      </c>
      <c r="R130" s="123"/>
      <c r="S130" s="123"/>
      <c r="T130" s="122">
        <v>1934912.33</v>
      </c>
      <c r="U130" s="122">
        <v>2139579.79</v>
      </c>
      <c r="V130" s="123"/>
      <c r="W130" s="123"/>
      <c r="X130" s="122">
        <v>1407147.49</v>
      </c>
    </row>
    <row r="131" spans="2:24" ht="15.75">
      <c r="B131" s="65" t="s">
        <v>249</v>
      </c>
      <c r="C131" s="65"/>
      <c r="D131" s="65"/>
      <c r="E131" s="65"/>
      <c r="F131" s="65"/>
      <c r="G131" s="65"/>
      <c r="H131" s="66">
        <v>0</v>
      </c>
      <c r="I131" s="66"/>
      <c r="J131" s="66"/>
      <c r="K131" s="120"/>
      <c r="L131" s="120"/>
      <c r="M131" s="120"/>
      <c r="N131" s="120"/>
      <c r="O131" s="226">
        <v>3443.26</v>
      </c>
      <c r="P131" s="80">
        <v>100952.87</v>
      </c>
      <c r="Q131" s="80">
        <v>21504.38</v>
      </c>
      <c r="R131" s="123"/>
      <c r="S131" s="123"/>
      <c r="T131" s="122">
        <v>49487.71</v>
      </c>
      <c r="U131" s="122">
        <v>33983.52</v>
      </c>
      <c r="V131" s="123"/>
      <c r="W131" s="123"/>
      <c r="X131" s="122">
        <v>75340.49</v>
      </c>
    </row>
    <row r="132" spans="2:24" ht="15.75">
      <c r="B132" s="65" t="s">
        <v>250</v>
      </c>
      <c r="C132" s="65"/>
      <c r="D132" s="65"/>
      <c r="E132" s="65"/>
      <c r="F132" s="65"/>
      <c r="G132" s="65"/>
      <c r="H132" s="66">
        <v>0</v>
      </c>
      <c r="I132" s="66"/>
      <c r="J132" s="66"/>
      <c r="K132" s="120"/>
      <c r="L132" s="120"/>
      <c r="M132" s="120"/>
      <c r="N132" s="120"/>
      <c r="O132" s="226">
        <v>723899.02</v>
      </c>
      <c r="P132" s="80">
        <v>656486.04</v>
      </c>
      <c r="Q132" s="80">
        <v>268308.8</v>
      </c>
      <c r="R132" s="123"/>
      <c r="S132" s="123"/>
      <c r="T132" s="122">
        <v>39577.77</v>
      </c>
      <c r="U132" s="122">
        <v>449452.45</v>
      </c>
      <c r="V132" s="123"/>
      <c r="W132" s="123"/>
      <c r="X132" s="122">
        <v>78817.08</v>
      </c>
    </row>
    <row r="133" spans="2:24" ht="15.75">
      <c r="B133" s="65" t="s">
        <v>251</v>
      </c>
      <c r="C133" s="65"/>
      <c r="D133" s="65"/>
      <c r="E133" s="65"/>
      <c r="F133" s="65"/>
      <c r="G133" s="65"/>
      <c r="H133" s="66">
        <v>0</v>
      </c>
      <c r="I133" s="66"/>
      <c r="J133" s="66"/>
      <c r="K133" s="120"/>
      <c r="L133" s="120"/>
      <c r="M133" s="120"/>
      <c r="N133" s="120"/>
      <c r="O133" s="226">
        <v>116555.7</v>
      </c>
      <c r="P133" s="80">
        <v>116883.7</v>
      </c>
      <c r="Q133" s="80">
        <v>63066.3</v>
      </c>
      <c r="R133" s="123"/>
      <c r="S133" s="123"/>
      <c r="T133" s="122">
        <v>46421.5</v>
      </c>
      <c r="U133" s="122">
        <v>28934.52</v>
      </c>
      <c r="V133" s="123"/>
      <c r="W133" s="123"/>
      <c r="X133" s="122">
        <v>51261.82</v>
      </c>
    </row>
    <row r="134" spans="2:24" ht="15.75">
      <c r="B134" s="65" t="s">
        <v>252</v>
      </c>
      <c r="C134" s="65"/>
      <c r="D134" s="65"/>
      <c r="E134" s="65"/>
      <c r="F134" s="65"/>
      <c r="G134" s="65"/>
      <c r="H134" s="66">
        <v>0</v>
      </c>
      <c r="I134" s="66"/>
      <c r="J134" s="66"/>
      <c r="K134" s="120"/>
      <c r="L134" s="120"/>
      <c r="M134" s="120"/>
      <c r="N134" s="120"/>
      <c r="O134" s="226">
        <v>133401.16</v>
      </c>
      <c r="P134" s="80">
        <v>361649.89</v>
      </c>
      <c r="Q134" s="80">
        <v>182627.44</v>
      </c>
      <c r="R134" s="123"/>
      <c r="S134" s="123"/>
      <c r="T134" s="122">
        <v>163708.98</v>
      </c>
      <c r="U134" s="122">
        <v>926.21</v>
      </c>
      <c r="V134" s="123"/>
      <c r="W134" s="123"/>
      <c r="X134" s="122">
        <v>274115.69</v>
      </c>
    </row>
    <row r="135" spans="2:24" ht="15.75">
      <c r="B135" s="65" t="s">
        <v>253</v>
      </c>
      <c r="C135" s="65"/>
      <c r="D135" s="65"/>
      <c r="E135" s="65"/>
      <c r="F135" s="65"/>
      <c r="G135" s="65"/>
      <c r="H135" s="66">
        <v>0</v>
      </c>
      <c r="I135" s="66"/>
      <c r="J135" s="66"/>
      <c r="K135" s="120"/>
      <c r="L135" s="120"/>
      <c r="M135" s="120"/>
      <c r="N135" s="120"/>
      <c r="O135" s="226">
        <v>425451.11</v>
      </c>
      <c r="P135" s="80">
        <v>374255.5</v>
      </c>
      <c r="Q135" s="80">
        <v>348894.19</v>
      </c>
      <c r="R135" s="123"/>
      <c r="S135" s="123"/>
      <c r="T135" s="122">
        <v>140904.94</v>
      </c>
      <c r="U135" s="122">
        <v>161427.18</v>
      </c>
      <c r="V135" s="123"/>
      <c r="W135" s="123"/>
      <c r="X135" s="122">
        <v>94277.5</v>
      </c>
    </row>
    <row r="136" spans="2:24" ht="15.75">
      <c r="B136" s="65" t="s">
        <v>254</v>
      </c>
      <c r="C136" s="65"/>
      <c r="D136" s="65"/>
      <c r="E136" s="65"/>
      <c r="F136" s="65"/>
      <c r="G136" s="65"/>
      <c r="H136" s="66">
        <v>0</v>
      </c>
      <c r="I136" s="66"/>
      <c r="J136" s="66"/>
      <c r="K136" s="120"/>
      <c r="L136" s="120"/>
      <c r="M136" s="120"/>
      <c r="N136" s="120"/>
      <c r="O136" s="226">
        <v>522037.53</v>
      </c>
      <c r="P136" s="80">
        <v>726117.41</v>
      </c>
      <c r="Q136" s="80">
        <v>729809.15</v>
      </c>
      <c r="R136" s="123"/>
      <c r="S136" s="123"/>
      <c r="T136" s="122">
        <v>324268.07</v>
      </c>
      <c r="U136" s="122">
        <v>367550.46</v>
      </c>
      <c r="V136" s="123"/>
      <c r="W136" s="123"/>
      <c r="X136" s="122">
        <v>141568.66</v>
      </c>
    </row>
    <row r="137" spans="2:24" ht="21" thickBot="1">
      <c r="B137" s="208" t="s">
        <v>255</v>
      </c>
      <c r="C137" s="65"/>
      <c r="D137" s="65"/>
      <c r="E137" s="65"/>
      <c r="F137" s="65"/>
      <c r="G137" s="65"/>
      <c r="H137" s="71">
        <f>SUM(H129:H136)</f>
        <v>0</v>
      </c>
      <c r="I137" s="78"/>
      <c r="J137" s="78"/>
      <c r="K137" s="120"/>
      <c r="L137" s="120"/>
      <c r="M137" s="120"/>
      <c r="N137" s="120"/>
      <c r="O137" s="227">
        <f>SUM(O129:O136)</f>
        <v>5087648.260000001</v>
      </c>
      <c r="P137" s="227">
        <f>SUM(P129:P136)</f>
        <v>5305865.5</v>
      </c>
      <c r="Q137" s="227">
        <f>SUM(Q129:Q136)</f>
        <v>4433464.069999999</v>
      </c>
      <c r="R137" s="123"/>
      <c r="S137" s="123"/>
      <c r="T137" s="341">
        <f>SUM(T129:T136)</f>
        <v>2818499.51</v>
      </c>
      <c r="U137" s="341">
        <f>SUM(U129:U136)</f>
        <v>3200683.7100000004</v>
      </c>
      <c r="V137" s="123"/>
      <c r="W137" s="123"/>
      <c r="X137" s="341">
        <f>SUM(X129:X136)</f>
        <v>3031291.14</v>
      </c>
    </row>
    <row r="138" spans="2:24" ht="15.75" thickTop="1">
      <c r="B138" s="13"/>
      <c r="C138" s="13"/>
      <c r="D138" s="13"/>
      <c r="E138" s="13"/>
      <c r="F138" s="13"/>
      <c r="G138" s="13"/>
      <c r="H138" s="13"/>
      <c r="I138" s="13"/>
      <c r="J138" s="13"/>
      <c r="X138" s="326"/>
    </row>
    <row r="139" spans="2:24" ht="18.75">
      <c r="B139" s="117" t="s">
        <v>568</v>
      </c>
      <c r="C139" s="139"/>
      <c r="D139" s="139"/>
      <c r="E139" s="139"/>
      <c r="F139" s="139"/>
      <c r="G139" s="139"/>
      <c r="H139" s="139"/>
      <c r="I139" s="139"/>
      <c r="J139" s="139"/>
      <c r="K139" s="141"/>
      <c r="L139" s="141"/>
      <c r="M139" s="141"/>
      <c r="N139" s="141"/>
      <c r="O139" s="494" t="s">
        <v>665</v>
      </c>
      <c r="P139" s="494"/>
      <c r="Q139" s="249"/>
      <c r="R139" s="334"/>
      <c r="S139" s="334"/>
      <c r="T139" s="317">
        <v>2018</v>
      </c>
      <c r="U139" s="335">
        <v>2017</v>
      </c>
      <c r="V139" s="340"/>
      <c r="W139" s="340"/>
      <c r="X139" s="335">
        <v>2016</v>
      </c>
    </row>
    <row r="140" spans="2:24" ht="20.25">
      <c r="B140" s="208" t="s">
        <v>112</v>
      </c>
      <c r="C140" s="139"/>
      <c r="D140" s="139"/>
      <c r="E140" s="139"/>
      <c r="F140" s="139"/>
      <c r="G140" s="139"/>
      <c r="H140" s="139"/>
      <c r="I140" s="139"/>
      <c r="J140" s="139"/>
      <c r="K140" s="141"/>
      <c r="L140" s="141"/>
      <c r="M140" s="141"/>
      <c r="N140" s="141"/>
      <c r="O140" s="118">
        <v>2021</v>
      </c>
      <c r="P140" s="118">
        <v>2020</v>
      </c>
      <c r="Q140" s="118">
        <v>2019</v>
      </c>
      <c r="R140" s="334"/>
      <c r="S140" s="334"/>
      <c r="T140" s="334"/>
      <c r="U140" s="334"/>
      <c r="V140" s="334"/>
      <c r="W140" s="334"/>
      <c r="X140" s="336"/>
    </row>
    <row r="141" spans="2:24" ht="15">
      <c r="B141" s="13" t="s">
        <v>113</v>
      </c>
      <c r="C141" s="13"/>
      <c r="D141" s="13"/>
      <c r="E141" s="13"/>
      <c r="F141" s="13"/>
      <c r="G141" s="13"/>
      <c r="H141" s="13"/>
      <c r="I141" s="13"/>
      <c r="J141" s="13"/>
      <c r="X141" s="326"/>
    </row>
    <row r="142" spans="2:24" ht="15">
      <c r="B142" s="13"/>
      <c r="C142" s="13"/>
      <c r="D142" s="13"/>
      <c r="E142" s="13"/>
      <c r="F142" s="13"/>
      <c r="G142" s="13"/>
      <c r="H142" s="13"/>
      <c r="I142" s="13"/>
      <c r="J142" s="13"/>
      <c r="X142" s="326"/>
    </row>
    <row r="143" spans="2:24" ht="15.75">
      <c r="B143" s="65" t="s">
        <v>114</v>
      </c>
      <c r="C143" s="65"/>
      <c r="D143" s="65"/>
      <c r="E143" s="65"/>
      <c r="F143" s="65"/>
      <c r="G143" s="65"/>
      <c r="H143" s="66">
        <v>2455.88</v>
      </c>
      <c r="I143" s="66"/>
      <c r="J143" s="66"/>
      <c r="K143" s="120"/>
      <c r="L143" s="120"/>
      <c r="M143" s="120"/>
      <c r="N143" s="120"/>
      <c r="O143" s="226">
        <v>611300.7</v>
      </c>
      <c r="P143" s="80">
        <v>677302.39</v>
      </c>
      <c r="Q143" s="80">
        <v>705863.58</v>
      </c>
      <c r="R143" s="123"/>
      <c r="S143" s="123"/>
      <c r="T143" s="122">
        <v>685401.08</v>
      </c>
      <c r="U143" s="122">
        <v>501489.76</v>
      </c>
      <c r="V143" s="123"/>
      <c r="W143" s="123"/>
      <c r="X143" s="122">
        <v>450046.41</v>
      </c>
    </row>
    <row r="144" spans="2:24" ht="15.75">
      <c r="B144" s="65" t="s">
        <v>115</v>
      </c>
      <c r="C144" s="65"/>
      <c r="D144" s="65"/>
      <c r="E144" s="65"/>
      <c r="F144" s="65"/>
      <c r="G144" s="65"/>
      <c r="H144" s="66">
        <v>120167.85</v>
      </c>
      <c r="I144" s="66"/>
      <c r="J144" s="66"/>
      <c r="K144" s="120"/>
      <c r="L144" s="120"/>
      <c r="M144" s="120"/>
      <c r="N144" s="120"/>
      <c r="O144" s="226">
        <v>786046.09</v>
      </c>
      <c r="P144" s="80">
        <v>711184.45</v>
      </c>
      <c r="Q144" s="80">
        <v>709977.32</v>
      </c>
      <c r="R144" s="123"/>
      <c r="S144" s="123"/>
      <c r="T144" s="122">
        <v>764763.35</v>
      </c>
      <c r="U144" s="122">
        <v>736984.56</v>
      </c>
      <c r="V144" s="123"/>
      <c r="W144" s="123"/>
      <c r="X144" s="122">
        <v>736984.56</v>
      </c>
    </row>
    <row r="145" spans="2:24" ht="15.75">
      <c r="B145" s="65" t="s">
        <v>116</v>
      </c>
      <c r="C145" s="65"/>
      <c r="D145" s="65"/>
      <c r="E145" s="65"/>
      <c r="F145" s="65"/>
      <c r="G145" s="65"/>
      <c r="H145" s="66">
        <v>9649.65</v>
      </c>
      <c r="I145" s="66"/>
      <c r="J145" s="66"/>
      <c r="K145" s="120"/>
      <c r="L145" s="120"/>
      <c r="M145" s="120"/>
      <c r="N145" s="120"/>
      <c r="O145" s="226">
        <v>9166.77</v>
      </c>
      <c r="P145" s="80">
        <v>9166.75</v>
      </c>
      <c r="Q145" s="80">
        <v>9134.74</v>
      </c>
      <c r="R145" s="123"/>
      <c r="S145" s="123"/>
      <c r="T145" s="122">
        <v>9649.64</v>
      </c>
      <c r="U145" s="122">
        <v>9649.57</v>
      </c>
      <c r="V145" s="123"/>
      <c r="W145" s="123"/>
      <c r="X145" s="122">
        <v>9649.6</v>
      </c>
    </row>
    <row r="146" spans="1:24" ht="15.75">
      <c r="A146" s="176" t="s">
        <v>97</v>
      </c>
      <c r="B146" s="65" t="s">
        <v>275</v>
      </c>
      <c r="C146" s="65"/>
      <c r="D146" s="65"/>
      <c r="E146" s="65"/>
      <c r="F146" s="65"/>
      <c r="G146" s="65"/>
      <c r="H146" s="66">
        <v>30383.94</v>
      </c>
      <c r="I146" s="66"/>
      <c r="J146" s="66"/>
      <c r="K146" s="120"/>
      <c r="L146" s="120"/>
      <c r="M146" s="120"/>
      <c r="N146" s="120"/>
      <c r="O146" s="226"/>
      <c r="P146" s="80">
        <v>28484.95</v>
      </c>
      <c r="Q146" s="80">
        <v>28178.78</v>
      </c>
      <c r="R146" s="123"/>
      <c r="S146" s="123"/>
      <c r="T146" s="122">
        <v>30383.96</v>
      </c>
      <c r="U146" s="122">
        <v>30383.96</v>
      </c>
      <c r="V146" s="123"/>
      <c r="W146" s="123"/>
      <c r="X146" s="122">
        <v>30383.95</v>
      </c>
    </row>
    <row r="147" spans="2:24" ht="16.5" thickBot="1">
      <c r="B147" s="65" t="s">
        <v>117</v>
      </c>
      <c r="C147" s="65"/>
      <c r="D147" s="65"/>
      <c r="E147" s="65"/>
      <c r="F147" s="65"/>
      <c r="G147" s="65"/>
      <c r="H147" s="66">
        <v>42000</v>
      </c>
      <c r="I147" s="66"/>
      <c r="J147" s="66"/>
      <c r="K147" s="120"/>
      <c r="L147" s="120"/>
      <c r="M147" s="120"/>
      <c r="N147" s="120"/>
      <c r="O147" s="95">
        <v>42000</v>
      </c>
      <c r="P147" s="95">
        <v>42000</v>
      </c>
      <c r="Q147" s="93">
        <v>42000</v>
      </c>
      <c r="R147" s="123"/>
      <c r="S147" s="123"/>
      <c r="T147" s="324">
        <v>42000</v>
      </c>
      <c r="U147" s="324">
        <v>42000</v>
      </c>
      <c r="V147" s="123"/>
      <c r="W147" s="123"/>
      <c r="X147" s="324">
        <v>42000</v>
      </c>
    </row>
    <row r="148" spans="1:31" s="176" customFormat="1" ht="16.5" thickBot="1">
      <c r="A148" s="176" t="s">
        <v>109</v>
      </c>
      <c r="B148" s="65" t="s">
        <v>690</v>
      </c>
      <c r="C148" s="65"/>
      <c r="D148" s="65"/>
      <c r="E148" s="65"/>
      <c r="F148" s="65"/>
      <c r="G148" s="65"/>
      <c r="H148" s="66"/>
      <c r="I148" s="66"/>
      <c r="J148" s="66"/>
      <c r="K148" s="136"/>
      <c r="L148" s="136"/>
      <c r="M148" s="136"/>
      <c r="N148" s="136"/>
      <c r="O148" s="93">
        <v>892482.68</v>
      </c>
      <c r="P148" s="93">
        <v>0</v>
      </c>
      <c r="Q148" s="95"/>
      <c r="R148" s="123"/>
      <c r="S148" s="123"/>
      <c r="T148" s="342"/>
      <c r="U148" s="342"/>
      <c r="V148" s="123"/>
      <c r="W148" s="123"/>
      <c r="X148" s="342"/>
      <c r="Y148" s="133"/>
      <c r="Z148" s="133"/>
      <c r="AA148" s="133"/>
      <c r="AB148" s="133"/>
      <c r="AC148" s="133"/>
      <c r="AD148" s="133"/>
      <c r="AE148" s="133"/>
    </row>
    <row r="149" spans="2:24" ht="21" thickBot="1">
      <c r="B149" s="208" t="s">
        <v>118</v>
      </c>
      <c r="C149" s="65"/>
      <c r="D149" s="65"/>
      <c r="E149" s="65"/>
      <c r="F149" s="65"/>
      <c r="G149" s="65"/>
      <c r="H149" s="71">
        <f>SUM(H143:H147)</f>
        <v>204657.32</v>
      </c>
      <c r="I149" s="78"/>
      <c r="J149" s="78"/>
      <c r="K149" s="120"/>
      <c r="L149" s="120"/>
      <c r="M149" s="120"/>
      <c r="N149" s="120"/>
      <c r="O149" s="227">
        <f>SUM(O143:O148)</f>
        <v>2340996.24</v>
      </c>
      <c r="P149" s="227">
        <f>SUM(P143:P147)</f>
        <v>1468138.5399999998</v>
      </c>
      <c r="Q149" s="227">
        <f>SUM(Q143:Q147)</f>
        <v>1495154.42</v>
      </c>
      <c r="R149" s="123"/>
      <c r="S149" s="123"/>
      <c r="T149" s="341">
        <f>SUM(T143:T147)</f>
        <v>1532198.0299999998</v>
      </c>
      <c r="U149" s="341">
        <f>SUM(U143:U147)</f>
        <v>1320507.85</v>
      </c>
      <c r="V149" s="123"/>
      <c r="W149" s="123"/>
      <c r="X149" s="341">
        <f>SUM(X143:X147)</f>
        <v>1269064.52</v>
      </c>
    </row>
    <row r="150" spans="2:24" ht="17.25" thickTop="1">
      <c r="B150" s="77"/>
      <c r="C150" s="13"/>
      <c r="D150" s="13"/>
      <c r="E150" s="13"/>
      <c r="F150" s="13"/>
      <c r="G150" s="13"/>
      <c r="H150" s="144"/>
      <c r="I150" s="144"/>
      <c r="J150" s="144"/>
      <c r="X150" s="326"/>
    </row>
    <row r="151" spans="2:31" s="176" customFormat="1" ht="16.5">
      <c r="B151" s="77"/>
      <c r="C151" s="13"/>
      <c r="D151" s="13"/>
      <c r="E151" s="13"/>
      <c r="F151" s="13"/>
      <c r="G151" s="13"/>
      <c r="H151" s="144"/>
      <c r="I151" s="144"/>
      <c r="J151" s="144"/>
      <c r="R151" s="133"/>
      <c r="S151" s="133"/>
      <c r="T151" s="133"/>
      <c r="U151" s="133"/>
      <c r="V151" s="133"/>
      <c r="W151" s="133"/>
      <c r="X151" s="326"/>
      <c r="Y151" s="133"/>
      <c r="Z151" s="133"/>
      <c r="AA151" s="133"/>
      <c r="AB151" s="133"/>
      <c r="AC151" s="133"/>
      <c r="AD151" s="133"/>
      <c r="AE151" s="133"/>
    </row>
    <row r="152" spans="2:31" s="176" customFormat="1" ht="16.5">
      <c r="B152" s="77"/>
      <c r="C152" s="13"/>
      <c r="D152" s="13"/>
      <c r="E152" s="13"/>
      <c r="F152" s="13"/>
      <c r="G152" s="13"/>
      <c r="H152" s="144"/>
      <c r="I152" s="144"/>
      <c r="J152" s="144"/>
      <c r="R152" s="133"/>
      <c r="S152" s="133"/>
      <c r="T152" s="133"/>
      <c r="U152" s="133"/>
      <c r="V152" s="133"/>
      <c r="W152" s="133"/>
      <c r="X152" s="326"/>
      <c r="Y152" s="133"/>
      <c r="Z152" s="133"/>
      <c r="AA152" s="133"/>
      <c r="AB152" s="133"/>
      <c r="AC152" s="133"/>
      <c r="AD152" s="133"/>
      <c r="AE152" s="133"/>
    </row>
    <row r="153" spans="2:31" s="176" customFormat="1" ht="16.5">
      <c r="B153" s="198" t="s">
        <v>955</v>
      </c>
      <c r="R153" s="133"/>
      <c r="S153" s="133"/>
      <c r="T153" s="133"/>
      <c r="U153" s="133"/>
      <c r="V153" s="133"/>
      <c r="W153" s="133"/>
      <c r="X153" s="326"/>
      <c r="Y153" s="133"/>
      <c r="Z153" s="133"/>
      <c r="AA153" s="133"/>
      <c r="AB153" s="133"/>
      <c r="AC153" s="133"/>
      <c r="AD153" s="133"/>
      <c r="AE153" s="133"/>
    </row>
    <row r="154" spans="2:31" s="176" customFormat="1" ht="16.5">
      <c r="B154" s="198" t="s">
        <v>956</v>
      </c>
      <c r="R154" s="133"/>
      <c r="S154" s="133"/>
      <c r="T154" s="133"/>
      <c r="U154" s="133"/>
      <c r="V154" s="133"/>
      <c r="W154" s="133"/>
      <c r="X154" s="326"/>
      <c r="Y154" s="133"/>
      <c r="Z154" s="133"/>
      <c r="AA154" s="133"/>
      <c r="AB154" s="133"/>
      <c r="AC154" s="133"/>
      <c r="AD154" s="133"/>
      <c r="AE154" s="133"/>
    </row>
    <row r="155" spans="2:31" s="176" customFormat="1" ht="16.5">
      <c r="B155" s="198" t="s">
        <v>957</v>
      </c>
      <c r="C155" s="13"/>
      <c r="D155" s="13"/>
      <c r="E155" s="13"/>
      <c r="F155" s="13"/>
      <c r="G155" s="13"/>
      <c r="H155" s="144"/>
      <c r="I155" s="144"/>
      <c r="J155" s="144"/>
      <c r="R155" s="133"/>
      <c r="S155" s="133"/>
      <c r="T155" s="133"/>
      <c r="U155" s="133"/>
      <c r="V155" s="133"/>
      <c r="W155" s="133"/>
      <c r="X155" s="326"/>
      <c r="Y155" s="133"/>
      <c r="Z155" s="133"/>
      <c r="AA155" s="133"/>
      <c r="AB155" s="133"/>
      <c r="AC155" s="133"/>
      <c r="AD155" s="133"/>
      <c r="AE155" s="133"/>
    </row>
    <row r="156" spans="2:31" s="176" customFormat="1" ht="16.5">
      <c r="B156" s="77" t="s">
        <v>958</v>
      </c>
      <c r="C156" s="13"/>
      <c r="D156" s="13"/>
      <c r="E156" s="13"/>
      <c r="F156" s="13"/>
      <c r="G156" s="13"/>
      <c r="H156" s="144"/>
      <c r="I156" s="144"/>
      <c r="J156" s="144"/>
      <c r="R156" s="133"/>
      <c r="S156" s="133"/>
      <c r="T156" s="133"/>
      <c r="U156" s="133"/>
      <c r="V156" s="133"/>
      <c r="W156" s="133"/>
      <c r="X156" s="326"/>
      <c r="Y156" s="133"/>
      <c r="Z156" s="133"/>
      <c r="AA156" s="133"/>
      <c r="AB156" s="133"/>
      <c r="AC156" s="133"/>
      <c r="AD156" s="133"/>
      <c r="AE156" s="133"/>
    </row>
    <row r="157" spans="2:31" s="176" customFormat="1" ht="16.5">
      <c r="B157" s="77"/>
      <c r="C157" s="13"/>
      <c r="D157" s="13"/>
      <c r="E157" s="13"/>
      <c r="F157" s="13"/>
      <c r="G157" s="13"/>
      <c r="H157" s="144"/>
      <c r="I157" s="144"/>
      <c r="J157" s="144"/>
      <c r="R157" s="133"/>
      <c r="S157" s="133"/>
      <c r="T157" s="133"/>
      <c r="U157" s="133"/>
      <c r="V157" s="133"/>
      <c r="W157" s="133"/>
      <c r="X157" s="326"/>
      <c r="Y157" s="133"/>
      <c r="Z157" s="133"/>
      <c r="AA157" s="133"/>
      <c r="AB157" s="133"/>
      <c r="AC157" s="133"/>
      <c r="AD157" s="133"/>
      <c r="AE157" s="133"/>
    </row>
    <row r="158" spans="2:31" s="176" customFormat="1" ht="16.5">
      <c r="B158" s="77"/>
      <c r="C158" s="13"/>
      <c r="D158" s="13"/>
      <c r="E158" s="13"/>
      <c r="F158" s="13"/>
      <c r="G158" s="13"/>
      <c r="H158" s="144"/>
      <c r="I158" s="144"/>
      <c r="J158" s="144"/>
      <c r="R158" s="133"/>
      <c r="S158" s="133"/>
      <c r="T158" s="133"/>
      <c r="U158" s="133"/>
      <c r="V158" s="133"/>
      <c r="W158" s="133"/>
      <c r="X158" s="326"/>
      <c r="Y158" s="133"/>
      <c r="Z158" s="133"/>
      <c r="AA158" s="133"/>
      <c r="AB158" s="133"/>
      <c r="AC158" s="133"/>
      <c r="AD158" s="133"/>
      <c r="AE158" s="133"/>
    </row>
    <row r="159" spans="2:24" ht="18.75">
      <c r="B159" s="117" t="s">
        <v>599</v>
      </c>
      <c r="C159" s="139"/>
      <c r="D159" s="139"/>
      <c r="E159" s="139"/>
      <c r="F159" s="139"/>
      <c r="G159" s="139"/>
      <c r="H159" s="145"/>
      <c r="I159" s="145"/>
      <c r="J159" s="145"/>
      <c r="K159" s="141"/>
      <c r="L159" s="141"/>
      <c r="M159" s="141"/>
      <c r="N159" s="141"/>
      <c r="O159" s="494" t="s">
        <v>665</v>
      </c>
      <c r="P159" s="494"/>
      <c r="R159" s="334"/>
      <c r="S159" s="334"/>
      <c r="T159" s="317">
        <v>2018</v>
      </c>
      <c r="U159" s="335">
        <v>2017</v>
      </c>
      <c r="V159" s="340"/>
      <c r="W159" s="340"/>
      <c r="X159" s="335">
        <v>2016</v>
      </c>
    </row>
    <row r="160" spans="2:24" ht="20.25">
      <c r="B160" s="208" t="s">
        <v>508</v>
      </c>
      <c r="C160" s="139"/>
      <c r="D160" s="139"/>
      <c r="E160" s="139"/>
      <c r="F160" s="139"/>
      <c r="G160" s="139"/>
      <c r="H160" s="139"/>
      <c r="I160" s="139"/>
      <c r="J160" s="139"/>
      <c r="K160" s="141"/>
      <c r="L160" s="141"/>
      <c r="M160" s="141"/>
      <c r="N160" s="141"/>
      <c r="O160" s="118">
        <v>2021</v>
      </c>
      <c r="P160" s="118">
        <v>2020</v>
      </c>
      <c r="Q160" s="118">
        <v>2019</v>
      </c>
      <c r="R160" s="334"/>
      <c r="S160" s="334"/>
      <c r="T160" s="334"/>
      <c r="U160" s="334"/>
      <c r="V160" s="334"/>
      <c r="W160" s="334"/>
      <c r="X160" s="336"/>
    </row>
    <row r="161" spans="2:24" ht="15">
      <c r="B161" s="13" t="s">
        <v>113</v>
      </c>
      <c r="C161" s="13"/>
      <c r="D161" s="13"/>
      <c r="E161" s="13"/>
      <c r="F161" s="13"/>
      <c r="G161" s="13"/>
      <c r="H161" s="13"/>
      <c r="I161" s="13"/>
      <c r="J161" s="13"/>
      <c r="X161" s="326"/>
    </row>
    <row r="162" spans="2:24" ht="15.75">
      <c r="B162" s="65" t="s">
        <v>509</v>
      </c>
      <c r="C162" s="65"/>
      <c r="D162" s="65"/>
      <c r="E162" s="65"/>
      <c r="F162" s="65"/>
      <c r="G162" s="65"/>
      <c r="H162" s="66"/>
      <c r="I162" s="66"/>
      <c r="J162" s="66"/>
      <c r="K162" s="120"/>
      <c r="L162" s="120"/>
      <c r="M162" s="120"/>
      <c r="N162" s="120"/>
      <c r="O162" s="226">
        <v>14669381.66</v>
      </c>
      <c r="P162" s="80">
        <v>14828962.13</v>
      </c>
      <c r="Q162" s="80">
        <v>14828962.13</v>
      </c>
      <c r="R162" s="123"/>
      <c r="S162" s="123"/>
      <c r="T162" s="122">
        <v>14669381.66</v>
      </c>
      <c r="U162" s="122">
        <v>14669381.66</v>
      </c>
      <c r="V162" s="123"/>
      <c r="W162" s="123"/>
      <c r="X162" s="122">
        <v>14669381.66</v>
      </c>
    </row>
    <row r="163" spans="2:24" ht="16.5">
      <c r="B163" s="77" t="s">
        <v>26</v>
      </c>
      <c r="C163" s="65"/>
      <c r="D163" s="65"/>
      <c r="E163" s="65"/>
      <c r="F163" s="65"/>
      <c r="G163" s="65"/>
      <c r="H163" s="66"/>
      <c r="I163" s="66"/>
      <c r="J163" s="66"/>
      <c r="K163" s="120"/>
      <c r="L163" s="120"/>
      <c r="M163" s="120"/>
      <c r="N163" s="120"/>
      <c r="O163" s="136"/>
      <c r="P163" s="80"/>
      <c r="Q163" s="80"/>
      <c r="R163" s="123"/>
      <c r="S163" s="123"/>
      <c r="T163" s="122"/>
      <c r="U163" s="122"/>
      <c r="V163" s="123"/>
      <c r="W163" s="123"/>
      <c r="X163" s="122"/>
    </row>
    <row r="164" spans="2:24" ht="15.75">
      <c r="B164" s="65" t="s">
        <v>124</v>
      </c>
      <c r="C164" s="65"/>
      <c r="D164" s="65"/>
      <c r="E164" s="65"/>
      <c r="F164" s="65"/>
      <c r="G164" s="65"/>
      <c r="H164" s="67"/>
      <c r="I164" s="67"/>
      <c r="J164" s="67"/>
      <c r="K164" s="120"/>
      <c r="L164" s="120"/>
      <c r="M164" s="120"/>
      <c r="N164" s="120"/>
      <c r="O164" s="254">
        <v>-2640529.13</v>
      </c>
      <c r="P164" s="254">
        <v>-2347101.37</v>
      </c>
      <c r="Q164" s="226">
        <v>-2053713.61</v>
      </c>
      <c r="R164" s="123"/>
      <c r="S164" s="123"/>
      <c r="T164" s="122">
        <v>-1760325.85</v>
      </c>
      <c r="U164" s="122">
        <v>-1466938.2</v>
      </c>
      <c r="V164" s="123"/>
      <c r="W164" s="123"/>
      <c r="X164" s="122">
        <v>-1173550.56</v>
      </c>
    </row>
    <row r="165" spans="2:24" ht="21" thickBot="1">
      <c r="B165" s="208" t="s">
        <v>672</v>
      </c>
      <c r="C165" s="65"/>
      <c r="D165" s="65"/>
      <c r="E165" s="65"/>
      <c r="F165" s="65"/>
      <c r="G165" s="65"/>
      <c r="H165" s="71">
        <f>+H162-H164</f>
        <v>0</v>
      </c>
      <c r="I165" s="78"/>
      <c r="J165" s="78"/>
      <c r="K165" s="120"/>
      <c r="L165" s="120"/>
      <c r="M165" s="120"/>
      <c r="N165" s="120"/>
      <c r="O165" s="227">
        <f>+O162+O164</f>
        <v>12028852.530000001</v>
      </c>
      <c r="P165" s="227">
        <f>SUM(P161:P164)</f>
        <v>12481860.760000002</v>
      </c>
      <c r="Q165" s="227">
        <f>SUM(Q161:Q164)</f>
        <v>12775248.520000001</v>
      </c>
      <c r="R165" s="123"/>
      <c r="S165" s="123"/>
      <c r="T165" s="341">
        <f>+T162+T164</f>
        <v>12909055.81</v>
      </c>
      <c r="U165" s="341">
        <f>SUM(U162:U164)</f>
        <v>13202443.46</v>
      </c>
      <c r="V165" s="123"/>
      <c r="W165" s="123"/>
      <c r="X165" s="341">
        <f>SUM(X162:X164)</f>
        <v>13495831.1</v>
      </c>
    </row>
    <row r="166" spans="2:24" ht="15.75" thickTop="1">
      <c r="B166" s="13"/>
      <c r="C166" s="13"/>
      <c r="D166" s="13"/>
      <c r="E166" s="13"/>
      <c r="F166" s="13"/>
      <c r="G166" s="13"/>
      <c r="H166" s="7"/>
      <c r="I166" s="7"/>
      <c r="J166" s="7"/>
      <c r="X166" s="326"/>
    </row>
    <row r="167" spans="2:24" ht="26.25" hidden="1">
      <c r="B167" s="13"/>
      <c r="C167" s="115" t="s">
        <v>82</v>
      </c>
      <c r="D167" s="115" t="s">
        <v>83</v>
      </c>
      <c r="E167" s="115"/>
      <c r="F167" s="115"/>
      <c r="G167" s="115"/>
      <c r="H167" s="115"/>
      <c r="I167" s="115"/>
      <c r="J167" s="115"/>
      <c r="K167" s="116"/>
      <c r="X167" s="326"/>
    </row>
    <row r="168" spans="2:24" ht="26.25" hidden="1">
      <c r="B168" s="13"/>
      <c r="C168" s="115" t="s">
        <v>244</v>
      </c>
      <c r="D168" s="115"/>
      <c r="E168" s="115"/>
      <c r="F168" s="115"/>
      <c r="G168" s="115"/>
      <c r="H168" s="115"/>
      <c r="I168" s="115"/>
      <c r="J168" s="115"/>
      <c r="K168" s="116"/>
      <c r="X168" s="326"/>
    </row>
    <row r="169" spans="2:24" ht="26.25" hidden="1">
      <c r="B169" s="13"/>
      <c r="C169" s="13"/>
      <c r="D169" s="13"/>
      <c r="E169" s="115" t="s">
        <v>84</v>
      </c>
      <c r="F169" s="13"/>
      <c r="G169" s="13"/>
      <c r="H169" s="13"/>
      <c r="I169" s="13"/>
      <c r="J169" s="13"/>
      <c r="X169" s="326"/>
    </row>
    <row r="170" spans="2:24" ht="0.75" customHeight="1">
      <c r="B170" s="13"/>
      <c r="C170" s="13"/>
      <c r="D170" s="13"/>
      <c r="E170" s="13"/>
      <c r="F170" s="13"/>
      <c r="G170" s="13"/>
      <c r="H170" s="13"/>
      <c r="I170" s="13"/>
      <c r="J170" s="13"/>
      <c r="X170" s="326"/>
    </row>
    <row r="171" spans="2:24" ht="18.75">
      <c r="B171" s="117" t="s">
        <v>599</v>
      </c>
      <c r="C171" s="139"/>
      <c r="D171" s="139"/>
      <c r="E171" s="139"/>
      <c r="F171" s="13"/>
      <c r="G171" s="13"/>
      <c r="H171" s="13"/>
      <c r="I171" s="13"/>
      <c r="J171" s="13"/>
      <c r="X171" s="326"/>
    </row>
    <row r="172" spans="2:24" ht="20.25">
      <c r="B172" s="208" t="s">
        <v>119</v>
      </c>
      <c r="C172" s="139"/>
      <c r="D172" s="139"/>
      <c r="E172" s="139"/>
      <c r="F172" s="13"/>
      <c r="G172" s="13"/>
      <c r="H172" s="13"/>
      <c r="I172" s="13"/>
      <c r="J172" s="13"/>
      <c r="O172" s="254"/>
      <c r="X172" s="326"/>
    </row>
    <row r="173" spans="2:24" ht="15.75">
      <c r="B173" s="65" t="s">
        <v>673</v>
      </c>
      <c r="C173" s="13"/>
      <c r="D173" s="13"/>
      <c r="E173" s="13"/>
      <c r="F173" s="13"/>
      <c r="G173" s="13"/>
      <c r="H173" s="13"/>
      <c r="I173" s="13"/>
      <c r="J173" s="13"/>
      <c r="O173" s="494" t="s">
        <v>665</v>
      </c>
      <c r="P173" s="494"/>
      <c r="Q173" s="249"/>
      <c r="R173" s="122"/>
      <c r="X173" s="326"/>
    </row>
    <row r="174" spans="2:24" ht="18.75">
      <c r="B174" s="65" t="s">
        <v>721</v>
      </c>
      <c r="C174" s="13"/>
      <c r="D174" s="13"/>
      <c r="E174" s="13"/>
      <c r="F174" s="13"/>
      <c r="G174" s="13"/>
      <c r="H174" s="13"/>
      <c r="I174" s="13"/>
      <c r="J174" s="13"/>
      <c r="O174" s="118">
        <v>2021</v>
      </c>
      <c r="P174" s="118">
        <v>2020</v>
      </c>
      <c r="Q174" s="118">
        <v>2019</v>
      </c>
      <c r="X174" s="326"/>
    </row>
    <row r="175" spans="2:24" ht="15.75">
      <c r="B175" s="65" t="s">
        <v>674</v>
      </c>
      <c r="C175" s="13"/>
      <c r="D175" s="13"/>
      <c r="E175" s="13"/>
      <c r="F175" s="13"/>
      <c r="G175" s="13"/>
      <c r="H175" s="13"/>
      <c r="I175" s="13"/>
      <c r="J175" s="13"/>
      <c r="X175" s="326"/>
    </row>
    <row r="176" spans="2:31" s="141" customFormat="1" ht="18.75">
      <c r="B176" s="117" t="s">
        <v>23</v>
      </c>
      <c r="C176" s="139"/>
      <c r="D176" s="139"/>
      <c r="E176" s="139"/>
      <c r="F176" s="139"/>
      <c r="G176" s="139"/>
      <c r="H176" s="139"/>
      <c r="I176" s="139"/>
      <c r="J176" s="139"/>
      <c r="R176" s="334"/>
      <c r="S176" s="334"/>
      <c r="T176" s="334"/>
      <c r="U176" s="334"/>
      <c r="V176" s="334"/>
      <c r="W176" s="334"/>
      <c r="X176" s="336"/>
      <c r="Y176" s="334"/>
      <c r="Z176" s="334"/>
      <c r="AA176" s="334"/>
      <c r="AB176" s="334"/>
      <c r="AC176" s="334"/>
      <c r="AD176" s="334"/>
      <c r="AE176" s="334"/>
    </row>
    <row r="177" spans="2:25" ht="15.75">
      <c r="B177" s="65" t="s">
        <v>29</v>
      </c>
      <c r="C177" s="65"/>
      <c r="D177" s="65"/>
      <c r="E177" s="65"/>
      <c r="F177" s="65"/>
      <c r="G177" s="65"/>
      <c r="H177" s="66">
        <v>21396540.13</v>
      </c>
      <c r="I177" s="66"/>
      <c r="J177" s="66"/>
      <c r="K177" s="120"/>
      <c r="L177" s="120"/>
      <c r="M177" s="120"/>
      <c r="N177" s="120"/>
      <c r="O177" s="72">
        <v>25497831.53</v>
      </c>
      <c r="P177" s="72">
        <v>24876294.05</v>
      </c>
      <c r="Q177" s="72">
        <v>23256212.94</v>
      </c>
      <c r="R177" s="123"/>
      <c r="S177" s="123"/>
      <c r="T177" s="122">
        <v>22749163.5</v>
      </c>
      <c r="U177" s="122">
        <v>22652687.94</v>
      </c>
      <c r="V177" s="123"/>
      <c r="W177" s="123"/>
      <c r="X177" s="122">
        <v>21834094.74</v>
      </c>
      <c r="Y177" s="123"/>
    </row>
    <row r="178" spans="2:25" ht="15.75">
      <c r="B178" s="65" t="s">
        <v>121</v>
      </c>
      <c r="C178" s="65"/>
      <c r="D178" s="65"/>
      <c r="E178" s="65"/>
      <c r="F178" s="65"/>
      <c r="G178" s="65"/>
      <c r="H178" s="66">
        <v>35703.1</v>
      </c>
      <c r="I178" s="66"/>
      <c r="J178" s="66"/>
      <c r="K178" s="120"/>
      <c r="L178" s="120"/>
      <c r="M178" s="120"/>
      <c r="N178" s="120"/>
      <c r="O178" s="136"/>
      <c r="P178" s="120"/>
      <c r="Q178" s="72">
        <v>35703.1</v>
      </c>
      <c r="R178" s="123"/>
      <c r="S178" s="123"/>
      <c r="T178" s="122">
        <v>35703.1</v>
      </c>
      <c r="U178" s="122">
        <v>35703.1</v>
      </c>
      <c r="V178" s="123"/>
      <c r="W178" s="123"/>
      <c r="X178" s="122">
        <v>35703.1</v>
      </c>
      <c r="Y178" s="123"/>
    </row>
    <row r="179" spans="2:25" ht="15.75">
      <c r="B179" s="65" t="s">
        <v>31</v>
      </c>
      <c r="C179" s="65"/>
      <c r="D179" s="65"/>
      <c r="E179" s="65"/>
      <c r="F179" s="65"/>
      <c r="G179" s="65"/>
      <c r="H179" s="66">
        <v>719340.07</v>
      </c>
      <c r="I179" s="66"/>
      <c r="J179" s="66"/>
      <c r="K179" s="120"/>
      <c r="L179" s="120"/>
      <c r="M179" s="120"/>
      <c r="N179" s="120"/>
      <c r="O179" s="72">
        <v>884540.07</v>
      </c>
      <c r="P179" s="72">
        <v>884540.07</v>
      </c>
      <c r="Q179" s="72">
        <v>884540.07</v>
      </c>
      <c r="R179" s="123"/>
      <c r="S179" s="123"/>
      <c r="T179" s="122">
        <v>884540.07</v>
      </c>
      <c r="U179" s="122">
        <v>884540.07</v>
      </c>
      <c r="V179" s="123"/>
      <c r="W179" s="123"/>
      <c r="X179" s="122">
        <v>884540.07</v>
      </c>
      <c r="Y179" s="123"/>
    </row>
    <row r="180" spans="2:25" ht="15.75">
      <c r="B180" s="65" t="s">
        <v>32</v>
      </c>
      <c r="C180" s="65"/>
      <c r="D180" s="65"/>
      <c r="E180" s="65"/>
      <c r="F180" s="65"/>
      <c r="G180" s="65"/>
      <c r="H180" s="66">
        <v>2525605.58</v>
      </c>
      <c r="I180" s="66"/>
      <c r="J180" s="66"/>
      <c r="K180" s="120"/>
      <c r="L180" s="120"/>
      <c r="M180" s="120"/>
      <c r="N180" s="120"/>
      <c r="O180" s="72">
        <v>3572078.7</v>
      </c>
      <c r="P180" s="72">
        <v>3283012.63</v>
      </c>
      <c r="Q180" s="72">
        <v>3824115.43</v>
      </c>
      <c r="R180" s="123"/>
      <c r="S180" s="123"/>
      <c r="T180" s="122">
        <v>3112760.62</v>
      </c>
      <c r="U180" s="122">
        <v>3054050.65</v>
      </c>
      <c r="V180" s="123"/>
      <c r="W180" s="123"/>
      <c r="X180" s="122">
        <v>2674003.47</v>
      </c>
      <c r="Y180" s="123"/>
    </row>
    <row r="181" spans="2:25" ht="15.75">
      <c r="B181" s="65" t="s">
        <v>4</v>
      </c>
      <c r="C181" s="65"/>
      <c r="D181" s="65"/>
      <c r="E181" s="65"/>
      <c r="F181" s="65"/>
      <c r="G181" s="65"/>
      <c r="H181" s="66">
        <v>72976.65</v>
      </c>
      <c r="I181" s="66"/>
      <c r="J181" s="66"/>
      <c r="K181" s="120"/>
      <c r="L181" s="120"/>
      <c r="M181" s="120"/>
      <c r="N181" s="120"/>
      <c r="O181" s="72">
        <v>4838</v>
      </c>
      <c r="P181" s="72">
        <v>4838</v>
      </c>
      <c r="Q181" s="72">
        <v>105426.65</v>
      </c>
      <c r="R181" s="123"/>
      <c r="S181" s="123"/>
      <c r="T181" s="122">
        <v>105426.65</v>
      </c>
      <c r="U181" s="122">
        <v>105426.65</v>
      </c>
      <c r="V181" s="123"/>
      <c r="W181" s="123"/>
      <c r="X181" s="122">
        <v>105426.65</v>
      </c>
      <c r="Y181" s="123"/>
    </row>
    <row r="182" spans="2:25" ht="15.75">
      <c r="B182" s="65" t="s">
        <v>444</v>
      </c>
      <c r="C182" s="65"/>
      <c r="D182" s="65"/>
      <c r="E182" s="65"/>
      <c r="F182" s="65"/>
      <c r="G182" s="65"/>
      <c r="H182" s="66">
        <v>136989.53</v>
      </c>
      <c r="I182" s="66"/>
      <c r="J182" s="66"/>
      <c r="K182" s="120"/>
      <c r="L182" s="120"/>
      <c r="M182" s="120"/>
      <c r="N182" s="120"/>
      <c r="O182" s="72">
        <v>85052.75</v>
      </c>
      <c r="P182" s="72">
        <v>26140.78</v>
      </c>
      <c r="Q182" s="72">
        <v>196241.12</v>
      </c>
      <c r="R182" s="123"/>
      <c r="S182" s="123"/>
      <c r="T182" s="122">
        <v>168400.98</v>
      </c>
      <c r="U182" s="122">
        <v>155170.95</v>
      </c>
      <c r="V182" s="123"/>
      <c r="W182" s="123"/>
      <c r="X182" s="122">
        <v>145389.53</v>
      </c>
      <c r="Y182" s="123"/>
    </row>
    <row r="183" spans="2:25" ht="15.75">
      <c r="B183" s="65" t="s">
        <v>122</v>
      </c>
      <c r="C183" s="65"/>
      <c r="D183" s="65"/>
      <c r="E183" s="65"/>
      <c r="F183" s="65"/>
      <c r="G183" s="65"/>
      <c r="H183" s="66">
        <v>835607.94</v>
      </c>
      <c r="I183" s="66"/>
      <c r="J183" s="66"/>
      <c r="K183" s="120"/>
      <c r="L183" s="120"/>
      <c r="M183" s="120"/>
      <c r="N183" s="120"/>
      <c r="O183" s="72">
        <v>211648.46</v>
      </c>
      <c r="P183" s="72">
        <v>148446.1</v>
      </c>
      <c r="Q183" s="72">
        <v>939447.38</v>
      </c>
      <c r="R183" s="123"/>
      <c r="S183" s="123"/>
      <c r="T183" s="122">
        <v>868852.38</v>
      </c>
      <c r="U183" s="122">
        <v>868852.38</v>
      </c>
      <c r="V183" s="123"/>
      <c r="W183" s="123"/>
      <c r="X183" s="122">
        <v>835607.94</v>
      </c>
      <c r="Y183" s="123"/>
    </row>
    <row r="184" spans="2:25" ht="15.75">
      <c r="B184" s="65" t="s">
        <v>486</v>
      </c>
      <c r="C184" s="120"/>
      <c r="D184" s="120"/>
      <c r="E184" s="120"/>
      <c r="F184" s="120"/>
      <c r="G184" s="120"/>
      <c r="H184" s="66">
        <v>189730.55</v>
      </c>
      <c r="I184" s="67"/>
      <c r="J184" s="67"/>
      <c r="K184" s="120"/>
      <c r="L184" s="120"/>
      <c r="M184" s="120"/>
      <c r="N184" s="120"/>
      <c r="O184" s="72">
        <v>15652.94</v>
      </c>
      <c r="P184" s="72">
        <v>3457.94</v>
      </c>
      <c r="Q184" s="72">
        <v>263668.01</v>
      </c>
      <c r="R184" s="123"/>
      <c r="S184" s="123"/>
      <c r="T184" s="122">
        <v>209278.01</v>
      </c>
      <c r="U184" s="122">
        <v>209278.01</v>
      </c>
      <c r="V184" s="123"/>
      <c r="W184" s="123"/>
      <c r="X184" s="122">
        <v>189730.55</v>
      </c>
      <c r="Y184" s="123"/>
    </row>
    <row r="185" spans="2:25" ht="15.75">
      <c r="B185" s="65" t="s">
        <v>487</v>
      </c>
      <c r="C185" s="65"/>
      <c r="D185" s="65"/>
      <c r="E185" s="65"/>
      <c r="F185" s="65"/>
      <c r="G185" s="65"/>
      <c r="H185" s="67">
        <v>88099.23</v>
      </c>
      <c r="I185" s="67"/>
      <c r="J185" s="67"/>
      <c r="K185" s="120"/>
      <c r="L185" s="120"/>
      <c r="M185" s="120"/>
      <c r="N185" s="120"/>
      <c r="O185" s="72">
        <v>101226.72</v>
      </c>
      <c r="P185" s="72">
        <v>101226.72</v>
      </c>
      <c r="Q185" s="72">
        <v>117466.72</v>
      </c>
      <c r="R185" s="123"/>
      <c r="S185" s="123"/>
      <c r="T185" s="122">
        <v>117466.72</v>
      </c>
      <c r="U185" s="122">
        <v>103076.72</v>
      </c>
      <c r="V185" s="123"/>
      <c r="W185" s="123"/>
      <c r="X185" s="122">
        <v>88099.23</v>
      </c>
      <c r="Y185" s="123"/>
    </row>
    <row r="186" spans="2:25" ht="15.75">
      <c r="B186" s="65" t="s">
        <v>127</v>
      </c>
      <c r="C186" s="65"/>
      <c r="D186" s="65"/>
      <c r="E186" s="65"/>
      <c r="F186" s="65"/>
      <c r="G186" s="65"/>
      <c r="H186" s="67">
        <v>5895</v>
      </c>
      <c r="I186" s="67"/>
      <c r="J186" s="67"/>
      <c r="K186" s="120"/>
      <c r="L186" s="120"/>
      <c r="M186" s="120"/>
      <c r="N186" s="120"/>
      <c r="O186" s="72">
        <v>5895</v>
      </c>
      <c r="P186" s="72">
        <v>5895</v>
      </c>
      <c r="Q186" s="72">
        <v>5895</v>
      </c>
      <c r="R186" s="123"/>
      <c r="S186" s="123"/>
      <c r="T186" s="122">
        <v>5895</v>
      </c>
      <c r="U186" s="122">
        <v>5895</v>
      </c>
      <c r="V186" s="123"/>
      <c r="W186" s="123"/>
      <c r="X186" s="122">
        <v>5895</v>
      </c>
      <c r="Y186" s="123"/>
    </row>
    <row r="187" spans="2:25" ht="15.75">
      <c r="B187" s="65" t="s">
        <v>123</v>
      </c>
      <c r="C187" s="65"/>
      <c r="D187" s="65"/>
      <c r="E187" s="65"/>
      <c r="F187" s="65"/>
      <c r="G187" s="65"/>
      <c r="H187" s="67">
        <v>15631018.04</v>
      </c>
      <c r="I187" s="67"/>
      <c r="J187" s="67"/>
      <c r="K187" s="120"/>
      <c r="L187" s="120"/>
      <c r="M187" s="120"/>
      <c r="N187" s="120"/>
      <c r="O187" s="72">
        <v>553230.96</v>
      </c>
      <c r="P187" s="72">
        <v>239754.94</v>
      </c>
      <c r="Q187" s="72">
        <v>16288354.29</v>
      </c>
      <c r="R187" s="123"/>
      <c r="S187" s="123"/>
      <c r="T187" s="122">
        <v>16126252.8</v>
      </c>
      <c r="U187" s="122">
        <v>16100876.9</v>
      </c>
      <c r="V187" s="123"/>
      <c r="W187" s="123"/>
      <c r="X187" s="122">
        <v>15705237.98</v>
      </c>
      <c r="Y187" s="123"/>
    </row>
    <row r="188" spans="2:25" ht="16.5" thickBot="1">
      <c r="B188" s="65" t="s">
        <v>128</v>
      </c>
      <c r="C188" s="65"/>
      <c r="D188" s="65"/>
      <c r="E188" s="65"/>
      <c r="F188" s="65"/>
      <c r="G188" s="65"/>
      <c r="H188" s="68">
        <v>37782.99</v>
      </c>
      <c r="I188" s="67"/>
      <c r="J188" s="67"/>
      <c r="K188" s="120"/>
      <c r="L188" s="120"/>
      <c r="M188" s="120"/>
      <c r="N188" s="120"/>
      <c r="O188" s="73">
        <v>150924.4</v>
      </c>
      <c r="P188" s="73">
        <v>150924.4</v>
      </c>
      <c r="Q188" s="73">
        <v>49825.32</v>
      </c>
      <c r="R188" s="123"/>
      <c r="S188" s="123"/>
      <c r="T188" s="324">
        <v>49825.32</v>
      </c>
      <c r="U188" s="324">
        <v>45010.99</v>
      </c>
      <c r="V188" s="123"/>
      <c r="W188" s="123"/>
      <c r="X188" s="324">
        <v>37782.99</v>
      </c>
      <c r="Y188" s="123"/>
    </row>
    <row r="189" spans="2:25" ht="16.5">
      <c r="B189" s="65"/>
      <c r="C189" s="65"/>
      <c r="D189" s="65"/>
      <c r="E189" s="65"/>
      <c r="F189" s="65"/>
      <c r="G189" s="65"/>
      <c r="H189" s="74">
        <f>SUM(H177:H188)</f>
        <v>41675288.81000001</v>
      </c>
      <c r="I189" s="74"/>
      <c r="J189" s="74"/>
      <c r="K189" s="120"/>
      <c r="L189" s="120"/>
      <c r="M189" s="120"/>
      <c r="N189" s="120"/>
      <c r="O189" s="131">
        <f>SUM(O177:O188)</f>
        <v>31082919.53</v>
      </c>
      <c r="P189" s="131">
        <f>SUM(P177:P188)</f>
        <v>29724530.630000003</v>
      </c>
      <c r="Q189" s="131">
        <f>SUM(Q177:Q188)</f>
        <v>45966896.03</v>
      </c>
      <c r="R189" s="343"/>
      <c r="S189" s="123"/>
      <c r="T189" s="132">
        <f>SUM(T177:T188)</f>
        <v>44433565.15</v>
      </c>
      <c r="U189" s="132">
        <f>SUM(U177:U188)</f>
        <v>44220569.36</v>
      </c>
      <c r="V189" s="123"/>
      <c r="W189" s="123"/>
      <c r="X189" s="132">
        <f>SUM(X177:X188)</f>
        <v>42541511.25000001</v>
      </c>
      <c r="Y189" s="123"/>
    </row>
    <row r="190" spans="2:25" ht="15.75">
      <c r="B190" s="65" t="s">
        <v>26</v>
      </c>
      <c r="C190" s="65"/>
      <c r="D190" s="65"/>
      <c r="E190" s="65"/>
      <c r="F190" s="65"/>
      <c r="G190" s="65"/>
      <c r="H190" s="66"/>
      <c r="I190" s="66"/>
      <c r="J190" s="66"/>
      <c r="K190" s="120"/>
      <c r="L190" s="120"/>
      <c r="M190" s="120"/>
      <c r="N190" s="120"/>
      <c r="O190" s="136"/>
      <c r="P190" s="120"/>
      <c r="Q190" s="120"/>
      <c r="R190" s="123"/>
      <c r="S190" s="123"/>
      <c r="T190" s="123"/>
      <c r="U190" s="123"/>
      <c r="V190" s="123"/>
      <c r="W190" s="123"/>
      <c r="X190" s="122"/>
      <c r="Y190" s="123"/>
    </row>
    <row r="191" spans="2:30" ht="16.5" thickBot="1">
      <c r="B191" s="65" t="s">
        <v>124</v>
      </c>
      <c r="C191" s="65"/>
      <c r="D191" s="65"/>
      <c r="E191" s="65"/>
      <c r="F191" s="65"/>
      <c r="G191" s="65"/>
      <c r="H191" s="75">
        <v>36302471.88</v>
      </c>
      <c r="I191" s="67"/>
      <c r="J191" s="67"/>
      <c r="K191" s="120"/>
      <c r="L191" s="124"/>
      <c r="M191" s="124"/>
      <c r="N191" s="124"/>
      <c r="O191" s="146">
        <f>+'Depreciación Acumulada'!E22</f>
        <v>16713267.77</v>
      </c>
      <c r="P191" s="146">
        <f>+'Depreciación Acumulada'!F22</f>
        <v>13645284.2</v>
      </c>
      <c r="Q191" s="146">
        <f>+'Depreciación Acumulada'!G22</f>
        <v>41064077.23</v>
      </c>
      <c r="R191" s="318"/>
      <c r="S191" s="318"/>
      <c r="T191" s="344">
        <v>40029788.4</v>
      </c>
      <c r="U191" s="324">
        <v>39027668.73</v>
      </c>
      <c r="V191" s="318"/>
      <c r="W191" s="318"/>
      <c r="X191" s="324">
        <v>37765965.47</v>
      </c>
      <c r="Y191" s="318"/>
      <c r="Z191" s="325"/>
      <c r="AA191" s="325"/>
      <c r="AB191" s="325"/>
      <c r="AC191" s="325"/>
      <c r="AD191" s="325"/>
    </row>
    <row r="192" spans="2:25" ht="18.75">
      <c r="B192" s="117" t="s">
        <v>125</v>
      </c>
      <c r="C192" s="65"/>
      <c r="D192" s="65"/>
      <c r="E192" s="65"/>
      <c r="F192" s="65"/>
      <c r="G192" s="65"/>
      <c r="H192" s="74">
        <f>+H189-H191</f>
        <v>5372816.930000007</v>
      </c>
      <c r="I192" s="74"/>
      <c r="J192" s="74"/>
      <c r="K192" s="120"/>
      <c r="L192" s="120"/>
      <c r="M192" s="120"/>
      <c r="N192" s="120"/>
      <c r="O192" s="131">
        <f>+O189-O191</f>
        <v>14369651.760000002</v>
      </c>
      <c r="P192" s="131">
        <f>+P189-P191</f>
        <v>16079246.430000003</v>
      </c>
      <c r="Q192" s="131">
        <f>+Q189-Q191</f>
        <v>4902818.8000000045</v>
      </c>
      <c r="R192" s="123"/>
      <c r="S192" s="123"/>
      <c r="T192" s="132">
        <f>+T189-T191</f>
        <v>4403776.75</v>
      </c>
      <c r="U192" s="132">
        <f>+U189-U191</f>
        <v>5192900.630000003</v>
      </c>
      <c r="V192" s="123"/>
      <c r="W192" s="123"/>
      <c r="X192" s="132">
        <f>+X189-X191</f>
        <v>4775545.780000009</v>
      </c>
      <c r="Y192" s="123"/>
    </row>
    <row r="193" spans="2:25" ht="16.5">
      <c r="B193" s="77"/>
      <c r="C193" s="65"/>
      <c r="D193" s="65"/>
      <c r="E193" s="65"/>
      <c r="F193" s="65"/>
      <c r="G193" s="65"/>
      <c r="H193" s="74"/>
      <c r="I193" s="74"/>
      <c r="J193" s="74"/>
      <c r="K193" s="120"/>
      <c r="L193" s="120"/>
      <c r="M193" s="120"/>
      <c r="N193" s="120"/>
      <c r="O193" s="136"/>
      <c r="P193" s="120"/>
      <c r="Q193" s="131"/>
      <c r="R193" s="123"/>
      <c r="S193" s="123"/>
      <c r="T193" s="132"/>
      <c r="U193" s="132"/>
      <c r="V193" s="123"/>
      <c r="W193" s="123"/>
      <c r="X193" s="132"/>
      <c r="Y193" s="123"/>
    </row>
    <row r="194" spans="2:17" ht="26.25">
      <c r="B194" s="13"/>
      <c r="C194" s="13"/>
      <c r="D194" s="13"/>
      <c r="E194" s="115"/>
      <c r="F194" s="13"/>
      <c r="G194" s="13"/>
      <c r="H194" s="13"/>
      <c r="I194" s="13"/>
      <c r="J194" s="13"/>
      <c r="O194" s="494" t="s">
        <v>665</v>
      </c>
      <c r="P194" s="494"/>
      <c r="Q194" s="249"/>
    </row>
    <row r="195" spans="2:24" ht="18.75">
      <c r="B195" s="117" t="s">
        <v>25</v>
      </c>
      <c r="C195" s="13"/>
      <c r="D195" s="13"/>
      <c r="E195" s="13"/>
      <c r="F195" s="13"/>
      <c r="G195" s="13"/>
      <c r="H195" s="13"/>
      <c r="I195" s="13"/>
      <c r="J195" s="13"/>
      <c r="O195" s="118">
        <v>2021</v>
      </c>
      <c r="P195" s="118">
        <v>2020</v>
      </c>
      <c r="Q195" s="118">
        <v>2019</v>
      </c>
      <c r="T195" s="317">
        <v>2018</v>
      </c>
      <c r="U195" s="335">
        <v>2017</v>
      </c>
      <c r="V195" s="340"/>
      <c r="W195" s="340"/>
      <c r="X195" s="335">
        <v>2016</v>
      </c>
    </row>
    <row r="196" spans="2:24" ht="15.75">
      <c r="B196" s="65" t="s">
        <v>29</v>
      </c>
      <c r="C196" s="65"/>
      <c r="D196" s="65"/>
      <c r="E196" s="65"/>
      <c r="F196" s="65"/>
      <c r="G196" s="65"/>
      <c r="H196" s="66">
        <v>1322372.29</v>
      </c>
      <c r="I196" s="66"/>
      <c r="J196" s="66"/>
      <c r="K196" s="120"/>
      <c r="L196" s="120"/>
      <c r="M196" s="120"/>
      <c r="N196" s="120"/>
      <c r="O196" s="72">
        <v>813740.64</v>
      </c>
      <c r="P196" s="72">
        <v>813740.64</v>
      </c>
      <c r="Q196" s="72">
        <v>1449196.92</v>
      </c>
      <c r="R196" s="123"/>
      <c r="S196" s="123"/>
      <c r="T196" s="122">
        <v>1413813.44</v>
      </c>
      <c r="U196" s="122">
        <v>1373811.44</v>
      </c>
      <c r="V196" s="123"/>
      <c r="W196" s="123"/>
      <c r="X196" s="122">
        <v>1350732.41</v>
      </c>
    </row>
    <row r="197" spans="2:24" ht="15.75" hidden="1">
      <c r="B197" s="65" t="s">
        <v>510</v>
      </c>
      <c r="C197" s="65"/>
      <c r="D197" s="65"/>
      <c r="E197" s="65"/>
      <c r="F197" s="65"/>
      <c r="G197" s="65"/>
      <c r="H197" s="66">
        <v>1500</v>
      </c>
      <c r="I197" s="66"/>
      <c r="J197" s="66"/>
      <c r="K197" s="120"/>
      <c r="L197" s="120"/>
      <c r="M197" s="120"/>
      <c r="N197" s="120"/>
      <c r="O197" s="72">
        <v>0</v>
      </c>
      <c r="P197" s="72">
        <v>0</v>
      </c>
      <c r="Q197" s="72">
        <v>1500</v>
      </c>
      <c r="R197" s="123"/>
      <c r="S197" s="123"/>
      <c r="T197" s="122">
        <v>1500</v>
      </c>
      <c r="U197" s="122">
        <v>1500</v>
      </c>
      <c r="V197" s="123"/>
      <c r="W197" s="123"/>
      <c r="X197" s="122">
        <v>1500</v>
      </c>
    </row>
    <row r="198" spans="2:24" ht="15.75">
      <c r="B198" s="65" t="s">
        <v>32</v>
      </c>
      <c r="C198" s="65"/>
      <c r="D198" s="65"/>
      <c r="E198" s="65"/>
      <c r="F198" s="65"/>
      <c r="G198" s="65"/>
      <c r="H198" s="66">
        <v>261656.02</v>
      </c>
      <c r="I198" s="66"/>
      <c r="J198" s="66"/>
      <c r="K198" s="120"/>
      <c r="L198" s="120"/>
      <c r="M198" s="120"/>
      <c r="N198" s="120"/>
      <c r="O198" s="72">
        <v>363373.65</v>
      </c>
      <c r="P198" s="72">
        <v>363373.65</v>
      </c>
      <c r="Q198" s="72">
        <v>600030.67</v>
      </c>
      <c r="R198" s="123"/>
      <c r="S198" s="123"/>
      <c r="T198" s="122">
        <v>600030.67</v>
      </c>
      <c r="U198" s="122">
        <v>600030.67</v>
      </c>
      <c r="V198" s="123"/>
      <c r="W198" s="123"/>
      <c r="X198" s="122">
        <v>600030.67</v>
      </c>
    </row>
    <row r="199" spans="2:24" ht="15.75" hidden="1">
      <c r="B199" s="65" t="s">
        <v>4</v>
      </c>
      <c r="C199" s="65"/>
      <c r="D199" s="65"/>
      <c r="E199" s="65"/>
      <c r="F199" s="65"/>
      <c r="G199" s="65"/>
      <c r="H199" s="66">
        <v>108897.18</v>
      </c>
      <c r="I199" s="66"/>
      <c r="J199" s="66"/>
      <c r="K199" s="120"/>
      <c r="L199" s="120"/>
      <c r="M199" s="120"/>
      <c r="N199" s="120"/>
      <c r="O199" s="72">
        <v>0</v>
      </c>
      <c r="P199" s="72">
        <v>0</v>
      </c>
      <c r="Q199" s="72">
        <v>131197.17</v>
      </c>
      <c r="R199" s="123"/>
      <c r="S199" s="123"/>
      <c r="T199" s="122">
        <v>131197.17</v>
      </c>
      <c r="U199" s="122">
        <v>131197.17</v>
      </c>
      <c r="V199" s="123"/>
      <c r="W199" s="123"/>
      <c r="X199" s="122">
        <v>131197.17</v>
      </c>
    </row>
    <row r="200" spans="2:24" ht="15.75">
      <c r="B200" s="65" t="s">
        <v>444</v>
      </c>
      <c r="C200" s="65"/>
      <c r="D200" s="65"/>
      <c r="E200" s="65"/>
      <c r="F200" s="65"/>
      <c r="G200" s="65"/>
      <c r="H200" s="66">
        <v>11848</v>
      </c>
      <c r="I200" s="66"/>
      <c r="J200" s="66"/>
      <c r="K200" s="120"/>
      <c r="L200" s="120"/>
      <c r="M200" s="120"/>
      <c r="N200" s="120"/>
      <c r="O200" s="72">
        <v>2849</v>
      </c>
      <c r="P200" s="72">
        <v>2849</v>
      </c>
      <c r="Q200" s="72">
        <v>11848</v>
      </c>
      <c r="R200" s="123"/>
      <c r="S200" s="123"/>
      <c r="T200" s="122">
        <v>11848</v>
      </c>
      <c r="U200" s="122">
        <v>11848</v>
      </c>
      <c r="V200" s="123"/>
      <c r="W200" s="123"/>
      <c r="X200" s="122">
        <v>11848</v>
      </c>
    </row>
    <row r="201" spans="2:24" ht="15.75">
      <c r="B201" s="65" t="s">
        <v>122</v>
      </c>
      <c r="C201" s="65"/>
      <c r="D201" s="65"/>
      <c r="E201" s="65"/>
      <c r="F201" s="65"/>
      <c r="G201" s="65"/>
      <c r="H201" s="66">
        <v>6525</v>
      </c>
      <c r="I201" s="66"/>
      <c r="J201" s="66"/>
      <c r="K201" s="120"/>
      <c r="L201" s="120"/>
      <c r="M201" s="120"/>
      <c r="N201" s="120"/>
      <c r="O201" s="72">
        <v>0</v>
      </c>
      <c r="P201" s="72">
        <v>0</v>
      </c>
      <c r="Q201" s="72">
        <v>6525</v>
      </c>
      <c r="R201" s="123"/>
      <c r="S201" s="123"/>
      <c r="T201" s="122">
        <v>6525</v>
      </c>
      <c r="U201" s="122">
        <v>6525</v>
      </c>
      <c r="V201" s="123"/>
      <c r="W201" s="123"/>
      <c r="X201" s="122">
        <v>6525</v>
      </c>
    </row>
    <row r="202" spans="2:24" ht="15.75">
      <c r="B202" s="65" t="s">
        <v>488</v>
      </c>
      <c r="C202" s="65"/>
      <c r="D202" s="65"/>
      <c r="E202" s="65"/>
      <c r="F202" s="65"/>
      <c r="G202" s="65"/>
      <c r="H202" s="66">
        <v>47484</v>
      </c>
      <c r="I202" s="66"/>
      <c r="J202" s="66"/>
      <c r="K202" s="120"/>
      <c r="L202" s="120"/>
      <c r="M202" s="120"/>
      <c r="N202" s="120"/>
      <c r="O202" s="72">
        <v>15895</v>
      </c>
      <c r="P202" s="72">
        <v>15895</v>
      </c>
      <c r="Q202" s="72">
        <v>59479.6</v>
      </c>
      <c r="R202" s="123"/>
      <c r="S202" s="123"/>
      <c r="T202" s="122">
        <v>59479.6</v>
      </c>
      <c r="U202" s="122">
        <v>59479.6</v>
      </c>
      <c r="V202" s="123"/>
      <c r="W202" s="123"/>
      <c r="X202" s="122">
        <v>59479.6</v>
      </c>
    </row>
    <row r="203" spans="2:24" ht="15.75">
      <c r="B203" s="65" t="s">
        <v>489</v>
      </c>
      <c r="C203" s="65"/>
      <c r="D203" s="65"/>
      <c r="E203" s="65"/>
      <c r="F203" s="65"/>
      <c r="G203" s="65"/>
      <c r="H203" s="66">
        <v>12790</v>
      </c>
      <c r="I203" s="66"/>
      <c r="J203" s="66"/>
      <c r="K203" s="120"/>
      <c r="L203" s="120"/>
      <c r="M203" s="120"/>
      <c r="N203" s="120"/>
      <c r="O203" s="72">
        <v>25680.85</v>
      </c>
      <c r="P203" s="72">
        <v>16285.85</v>
      </c>
      <c r="Q203" s="72">
        <v>31002.89</v>
      </c>
      <c r="R203" s="343"/>
      <c r="S203" s="123"/>
      <c r="T203" s="122">
        <v>22507.89</v>
      </c>
      <c r="U203" s="122">
        <v>22507.89</v>
      </c>
      <c r="V203" s="123"/>
      <c r="W203" s="123"/>
      <c r="X203" s="122">
        <v>22507.89</v>
      </c>
    </row>
    <row r="204" spans="2:24" ht="16.5" thickBot="1">
      <c r="B204" s="65" t="s">
        <v>123</v>
      </c>
      <c r="C204" s="65"/>
      <c r="D204" s="65"/>
      <c r="E204" s="65"/>
      <c r="F204" s="65"/>
      <c r="G204" s="65"/>
      <c r="H204" s="68">
        <v>54670.34</v>
      </c>
      <c r="I204" s="67"/>
      <c r="J204" s="67"/>
      <c r="K204" s="120"/>
      <c r="L204" s="120"/>
      <c r="M204" s="120"/>
      <c r="N204" s="120"/>
      <c r="O204" s="73">
        <v>25813.44</v>
      </c>
      <c r="P204" s="73">
        <v>25813.44</v>
      </c>
      <c r="Q204" s="73">
        <v>57108.84</v>
      </c>
      <c r="R204" s="123"/>
      <c r="S204" s="123"/>
      <c r="T204" s="324">
        <v>55313.84</v>
      </c>
      <c r="U204" s="324">
        <v>55313.84</v>
      </c>
      <c r="V204" s="123"/>
      <c r="W204" s="123"/>
      <c r="X204" s="324">
        <v>55313.84</v>
      </c>
    </row>
    <row r="205" spans="2:24" ht="16.5">
      <c r="B205" s="65"/>
      <c r="C205" s="65"/>
      <c r="D205" s="65"/>
      <c r="E205" s="65"/>
      <c r="F205" s="65"/>
      <c r="G205" s="65"/>
      <c r="H205" s="74">
        <f>SUM(H196:H204)</f>
        <v>1827742.83</v>
      </c>
      <c r="I205" s="74"/>
      <c r="J205" s="74"/>
      <c r="K205" s="120"/>
      <c r="L205" s="120"/>
      <c r="M205" s="120"/>
      <c r="N205" s="120"/>
      <c r="O205" s="131">
        <f>SUM(O196:O204)</f>
        <v>1247352.58</v>
      </c>
      <c r="P205" s="131">
        <f>SUM(P196:P204)</f>
        <v>1237957.58</v>
      </c>
      <c r="Q205" s="131">
        <f>SUM(Q196:Q204)</f>
        <v>2347889.09</v>
      </c>
      <c r="R205" s="123"/>
      <c r="S205" s="123"/>
      <c r="T205" s="345">
        <f>SUM(T196:T204)</f>
        <v>2302215.61</v>
      </c>
      <c r="U205" s="345">
        <f>SUM(U196:U204)</f>
        <v>2262213.61</v>
      </c>
      <c r="V205" s="123"/>
      <c r="W205" s="123"/>
      <c r="X205" s="345">
        <f>SUM(X196:X204)</f>
        <v>2239134.58</v>
      </c>
    </row>
    <row r="206" spans="2:24" ht="15.75">
      <c r="B206" s="65" t="s">
        <v>26</v>
      </c>
      <c r="C206" s="65"/>
      <c r="D206" s="65"/>
      <c r="E206" s="65"/>
      <c r="F206" s="65"/>
      <c r="G206" s="65"/>
      <c r="H206" s="66"/>
      <c r="I206" s="66"/>
      <c r="J206" s="66"/>
      <c r="K206" s="120"/>
      <c r="L206" s="120"/>
      <c r="M206" s="120"/>
      <c r="N206" s="120"/>
      <c r="O206" s="136"/>
      <c r="P206" s="120"/>
      <c r="Q206" s="120"/>
      <c r="R206" s="123"/>
      <c r="S206" s="123"/>
      <c r="T206" s="123"/>
      <c r="U206" s="122"/>
      <c r="V206" s="123"/>
      <c r="W206" s="123"/>
      <c r="X206" s="122"/>
    </row>
    <row r="207" spans="2:24" ht="16.5" thickBot="1">
      <c r="B207" s="65" t="s">
        <v>124</v>
      </c>
      <c r="C207" s="65"/>
      <c r="D207" s="65"/>
      <c r="E207" s="65"/>
      <c r="F207" s="65"/>
      <c r="G207" s="65"/>
      <c r="H207" s="68">
        <v>1697965.29</v>
      </c>
      <c r="I207" s="67"/>
      <c r="J207" s="67"/>
      <c r="K207" s="120"/>
      <c r="L207" s="120"/>
      <c r="M207" s="120"/>
      <c r="N207" s="120"/>
      <c r="O207" s="93">
        <f>+'Depreciación Acumulada'!E37</f>
        <v>926148.2100000001</v>
      </c>
      <c r="P207" s="93">
        <f>+'Depreciación Acumulada'!F37</f>
        <v>916127.61</v>
      </c>
      <c r="Q207" s="93">
        <f>+'Depreciación Acumulada'!G37</f>
        <v>2090621.37</v>
      </c>
      <c r="R207" s="123"/>
      <c r="S207" s="123"/>
      <c r="T207" s="324">
        <v>1979036.82</v>
      </c>
      <c r="U207" s="324">
        <v>1867452.21</v>
      </c>
      <c r="V207" s="123"/>
      <c r="W207" s="123"/>
      <c r="X207" s="324">
        <v>1764486.83</v>
      </c>
    </row>
    <row r="208" spans="2:24" ht="16.5">
      <c r="B208" s="77" t="s">
        <v>125</v>
      </c>
      <c r="C208" s="65"/>
      <c r="D208" s="65"/>
      <c r="E208" s="65"/>
      <c r="F208" s="65"/>
      <c r="G208" s="65"/>
      <c r="H208" s="74">
        <f>+H205-H207</f>
        <v>129777.54000000004</v>
      </c>
      <c r="I208" s="74"/>
      <c r="J208" s="74"/>
      <c r="K208" s="120"/>
      <c r="L208" s="120"/>
      <c r="M208" s="120"/>
      <c r="N208" s="120"/>
      <c r="O208" s="147">
        <f>+O205-O207</f>
        <v>321204.37</v>
      </c>
      <c r="P208" s="147">
        <f>+P205-P207</f>
        <v>321829.9700000001</v>
      </c>
      <c r="Q208" s="147">
        <f>+Q205-Q207</f>
        <v>257267.71999999974</v>
      </c>
      <c r="R208" s="123"/>
      <c r="S208" s="123"/>
      <c r="T208" s="132">
        <f>+T205-T207</f>
        <v>323178.7899999998</v>
      </c>
      <c r="U208" s="132">
        <f>+U205-U207</f>
        <v>394761.3999999999</v>
      </c>
      <c r="V208" s="123"/>
      <c r="W208" s="123"/>
      <c r="X208" s="132">
        <f>+X205-X207</f>
        <v>474647.75</v>
      </c>
    </row>
    <row r="209" spans="2:24" ht="16.5">
      <c r="B209" s="77"/>
      <c r="C209" s="65"/>
      <c r="D209" s="65"/>
      <c r="E209" s="65"/>
      <c r="F209" s="65"/>
      <c r="G209" s="65"/>
      <c r="H209" s="74"/>
      <c r="I209" s="74"/>
      <c r="J209" s="74"/>
      <c r="K209" s="120"/>
      <c r="L209" s="120"/>
      <c r="M209" s="120"/>
      <c r="N209" s="120"/>
      <c r="O209" s="136"/>
      <c r="P209" s="120"/>
      <c r="Q209" s="147"/>
      <c r="R209" s="123"/>
      <c r="S209" s="123"/>
      <c r="T209" s="132"/>
      <c r="U209" s="132"/>
      <c r="V209" s="123"/>
      <c r="W209" s="123"/>
      <c r="X209" s="132"/>
    </row>
    <row r="210" spans="2:24" ht="15">
      <c r="B210" s="13"/>
      <c r="C210" s="13"/>
      <c r="D210" s="13"/>
      <c r="E210" s="13"/>
      <c r="F210" s="13"/>
      <c r="G210" s="13"/>
      <c r="H210" s="7"/>
      <c r="I210" s="7"/>
      <c r="J210" s="7"/>
      <c r="O210" s="494" t="s">
        <v>665</v>
      </c>
      <c r="P210" s="494"/>
      <c r="Q210" s="249"/>
      <c r="X210" s="326"/>
    </row>
    <row r="211" spans="2:24" ht="18.75">
      <c r="B211" s="117" t="s">
        <v>24</v>
      </c>
      <c r="C211" s="13"/>
      <c r="D211" s="13"/>
      <c r="E211" s="13"/>
      <c r="F211" s="13"/>
      <c r="G211" s="13"/>
      <c r="H211" s="7"/>
      <c r="I211" s="7"/>
      <c r="J211" s="7"/>
      <c r="O211" s="118">
        <v>2021</v>
      </c>
      <c r="P211" s="118">
        <v>2020</v>
      </c>
      <c r="Q211" s="118">
        <v>2019</v>
      </c>
      <c r="T211" s="317">
        <v>2018</v>
      </c>
      <c r="U211" s="335">
        <v>2017</v>
      </c>
      <c r="V211" s="340"/>
      <c r="W211" s="340"/>
      <c r="X211" s="335">
        <v>2016</v>
      </c>
    </row>
    <row r="212" spans="2:24" ht="15.75">
      <c r="B212" s="65" t="s">
        <v>29</v>
      </c>
      <c r="C212" s="65"/>
      <c r="D212" s="65"/>
      <c r="E212" s="65"/>
      <c r="F212" s="65"/>
      <c r="G212" s="65"/>
      <c r="H212" s="66">
        <v>715389.94</v>
      </c>
      <c r="I212" s="66"/>
      <c r="J212" s="66"/>
      <c r="K212" s="120"/>
      <c r="L212" s="120"/>
      <c r="M212" s="120"/>
      <c r="N212" s="120"/>
      <c r="O212" s="72">
        <v>1015928.36</v>
      </c>
      <c r="P212" s="72">
        <v>1015928.36</v>
      </c>
      <c r="Q212" s="72">
        <v>939611.78</v>
      </c>
      <c r="R212" s="123"/>
      <c r="S212" s="123"/>
      <c r="T212" s="122">
        <v>908840.91</v>
      </c>
      <c r="U212" s="122">
        <v>908840.91</v>
      </c>
      <c r="V212" s="123"/>
      <c r="W212" s="123"/>
      <c r="X212" s="122">
        <v>748429.94</v>
      </c>
    </row>
    <row r="213" spans="2:24" ht="15.75" hidden="1">
      <c r="B213" s="65" t="s">
        <v>510</v>
      </c>
      <c r="C213" s="65"/>
      <c r="D213" s="65"/>
      <c r="E213" s="65"/>
      <c r="F213" s="65"/>
      <c r="G213" s="65"/>
      <c r="H213" s="66">
        <v>19952</v>
      </c>
      <c r="I213" s="66"/>
      <c r="J213" s="66"/>
      <c r="K213" s="120"/>
      <c r="L213" s="120"/>
      <c r="M213" s="120"/>
      <c r="N213" s="120"/>
      <c r="O213" s="136"/>
      <c r="P213" s="120"/>
      <c r="Q213" s="72">
        <v>19952</v>
      </c>
      <c r="R213" s="123"/>
      <c r="S213" s="123"/>
      <c r="T213" s="122">
        <v>19952</v>
      </c>
      <c r="U213" s="122">
        <v>19952</v>
      </c>
      <c r="V213" s="123"/>
      <c r="W213" s="123"/>
      <c r="X213" s="122">
        <v>19952</v>
      </c>
    </row>
    <row r="214" spans="2:24" ht="15.75" hidden="1">
      <c r="B214" s="65" t="s">
        <v>31</v>
      </c>
      <c r="C214" s="65"/>
      <c r="D214" s="65"/>
      <c r="E214" s="65"/>
      <c r="F214" s="65"/>
      <c r="G214" s="65"/>
      <c r="H214" s="66">
        <v>382724.01</v>
      </c>
      <c r="I214" s="66"/>
      <c r="J214" s="66"/>
      <c r="K214" s="120"/>
      <c r="L214" s="120"/>
      <c r="M214" s="120"/>
      <c r="N214" s="120"/>
      <c r="O214" s="136"/>
      <c r="P214" s="120"/>
      <c r="Q214" s="72">
        <v>382724.01</v>
      </c>
      <c r="R214" s="123"/>
      <c r="S214" s="123"/>
      <c r="T214" s="122">
        <v>382724.01</v>
      </c>
      <c r="U214" s="122">
        <v>382724.01</v>
      </c>
      <c r="V214" s="123"/>
      <c r="W214" s="123"/>
      <c r="X214" s="122">
        <v>382724.01</v>
      </c>
    </row>
    <row r="215" spans="2:24" ht="15.75">
      <c r="B215" s="65" t="s">
        <v>32</v>
      </c>
      <c r="C215" s="65"/>
      <c r="D215" s="65"/>
      <c r="E215" s="65"/>
      <c r="F215" s="65"/>
      <c r="G215" s="65"/>
      <c r="H215" s="66">
        <f>72799+11774</f>
        <v>84573</v>
      </c>
      <c r="I215" s="66"/>
      <c r="J215" s="66"/>
      <c r="K215" s="120"/>
      <c r="L215" s="120"/>
      <c r="M215" s="120"/>
      <c r="N215" s="120"/>
      <c r="O215" s="72">
        <v>27800</v>
      </c>
      <c r="P215" s="72">
        <v>27800</v>
      </c>
      <c r="Q215" s="72">
        <v>148995.76</v>
      </c>
      <c r="R215" s="123"/>
      <c r="S215" s="123"/>
      <c r="T215" s="122">
        <v>148995.76</v>
      </c>
      <c r="U215" s="122">
        <v>148995.76</v>
      </c>
      <c r="V215" s="123"/>
      <c r="W215" s="123"/>
      <c r="X215" s="122">
        <v>84573</v>
      </c>
    </row>
    <row r="216" spans="2:24" ht="15.75">
      <c r="B216" s="65" t="s">
        <v>444</v>
      </c>
      <c r="C216" s="65"/>
      <c r="D216" s="65"/>
      <c r="E216" s="65"/>
      <c r="F216" s="65"/>
      <c r="G216" s="65"/>
      <c r="H216" s="66">
        <v>13780.16</v>
      </c>
      <c r="I216" s="66"/>
      <c r="J216" s="66"/>
      <c r="K216" s="120"/>
      <c r="L216" s="120"/>
      <c r="M216" s="120"/>
      <c r="N216" s="120"/>
      <c r="O216" s="72">
        <v>6405</v>
      </c>
      <c r="P216" s="72">
        <v>6405</v>
      </c>
      <c r="Q216" s="72">
        <v>27971.58</v>
      </c>
      <c r="R216" s="123"/>
      <c r="S216" s="123"/>
      <c r="T216" s="122">
        <v>27971.58</v>
      </c>
      <c r="U216" s="122">
        <v>23561.58</v>
      </c>
      <c r="V216" s="123"/>
      <c r="W216" s="123"/>
      <c r="X216" s="122">
        <v>13780.16</v>
      </c>
    </row>
    <row r="217" spans="2:24" ht="15.75" hidden="1">
      <c r="B217" s="65" t="s">
        <v>122</v>
      </c>
      <c r="C217" s="65"/>
      <c r="D217" s="65"/>
      <c r="E217" s="65"/>
      <c r="F217" s="65"/>
      <c r="G217" s="65"/>
      <c r="H217" s="66">
        <v>13050</v>
      </c>
      <c r="I217" s="66"/>
      <c r="J217" s="66"/>
      <c r="K217" s="120"/>
      <c r="L217" s="120"/>
      <c r="M217" s="120"/>
      <c r="N217" s="120"/>
      <c r="O217" s="136"/>
      <c r="P217" s="120"/>
      <c r="Q217" s="72">
        <v>13050</v>
      </c>
      <c r="R217" s="123"/>
      <c r="S217" s="123"/>
      <c r="T217" s="122">
        <v>13050</v>
      </c>
      <c r="U217" s="122">
        <v>13050</v>
      </c>
      <c r="V217" s="123"/>
      <c r="W217" s="123"/>
      <c r="X217" s="122">
        <v>13050</v>
      </c>
    </row>
    <row r="218" spans="2:24" ht="15.75" hidden="1">
      <c r="B218" s="65" t="s">
        <v>490</v>
      </c>
      <c r="C218" s="65"/>
      <c r="D218" s="65"/>
      <c r="E218" s="65"/>
      <c r="F218" s="65"/>
      <c r="G218" s="65"/>
      <c r="H218" s="66">
        <v>11280</v>
      </c>
      <c r="I218" s="66"/>
      <c r="J218" s="66"/>
      <c r="K218" s="120"/>
      <c r="L218" s="120"/>
      <c r="M218" s="120"/>
      <c r="N218" s="120"/>
      <c r="O218" s="136"/>
      <c r="P218" s="120"/>
      <c r="Q218" s="72">
        <v>11280</v>
      </c>
      <c r="R218" s="123"/>
      <c r="S218" s="123"/>
      <c r="T218" s="122">
        <v>11280</v>
      </c>
      <c r="U218" s="122">
        <v>11280</v>
      </c>
      <c r="V218" s="123"/>
      <c r="W218" s="123"/>
      <c r="X218" s="122">
        <v>11280</v>
      </c>
    </row>
    <row r="219" spans="2:24" ht="15.75">
      <c r="B219" s="65" t="s">
        <v>491</v>
      </c>
      <c r="C219" s="65"/>
      <c r="D219" s="65"/>
      <c r="E219" s="65"/>
      <c r="F219" s="65"/>
      <c r="G219" s="65"/>
      <c r="H219" s="66">
        <v>1500</v>
      </c>
      <c r="I219" s="66"/>
      <c r="J219" s="66"/>
      <c r="K219" s="120"/>
      <c r="L219" s="120"/>
      <c r="M219" s="120"/>
      <c r="N219" s="120"/>
      <c r="O219" s="72">
        <v>7995</v>
      </c>
      <c r="P219" s="72">
        <v>7995</v>
      </c>
      <c r="Q219" s="72">
        <v>1500</v>
      </c>
      <c r="R219" s="123"/>
      <c r="S219" s="123"/>
      <c r="T219" s="122">
        <v>1500</v>
      </c>
      <c r="U219" s="122">
        <v>1500</v>
      </c>
      <c r="V219" s="123"/>
      <c r="W219" s="123"/>
      <c r="X219" s="122">
        <v>1500</v>
      </c>
    </row>
    <row r="220" spans="2:24" ht="16.5" thickBot="1">
      <c r="B220" s="65" t="s">
        <v>123</v>
      </c>
      <c r="C220" s="65"/>
      <c r="D220" s="65"/>
      <c r="E220" s="65"/>
      <c r="F220" s="65"/>
      <c r="G220" s="65"/>
      <c r="H220" s="68">
        <v>196523.15</v>
      </c>
      <c r="I220" s="67"/>
      <c r="J220" s="67"/>
      <c r="K220" s="120"/>
      <c r="L220" s="120"/>
      <c r="M220" s="120"/>
      <c r="N220" s="120"/>
      <c r="O220" s="73">
        <v>9772</v>
      </c>
      <c r="P220" s="73">
        <v>9772</v>
      </c>
      <c r="Q220" s="73">
        <v>196523.15</v>
      </c>
      <c r="R220" s="123"/>
      <c r="S220" s="123"/>
      <c r="T220" s="324">
        <v>196523.15</v>
      </c>
      <c r="U220" s="324">
        <v>196523.15</v>
      </c>
      <c r="V220" s="123"/>
      <c r="W220" s="123"/>
      <c r="X220" s="324">
        <v>196523.15</v>
      </c>
    </row>
    <row r="221" spans="2:24" ht="16.5">
      <c r="B221" s="65"/>
      <c r="C221" s="65"/>
      <c r="D221" s="65"/>
      <c r="E221" s="65"/>
      <c r="F221" s="65"/>
      <c r="G221" s="65"/>
      <c r="H221" s="74">
        <f>SUM(H212:H220)</f>
        <v>1438772.2599999998</v>
      </c>
      <c r="I221" s="74"/>
      <c r="J221" s="74"/>
      <c r="K221" s="120"/>
      <c r="L221" s="120"/>
      <c r="M221" s="120"/>
      <c r="N221" s="120"/>
      <c r="O221" s="237">
        <f>SUM(O212:O220)</f>
        <v>1067900.3599999999</v>
      </c>
      <c r="P221" s="237">
        <f>SUM(P212:P220)</f>
        <v>1067900.3599999999</v>
      </c>
      <c r="Q221" s="237">
        <f>SUM(Q212:Q220)</f>
        <v>1741608.28</v>
      </c>
      <c r="R221" s="123"/>
      <c r="S221" s="123"/>
      <c r="T221" s="345">
        <f>SUM(T212:T220)</f>
        <v>1710837.41</v>
      </c>
      <c r="U221" s="345">
        <f>SUM(U212:U220)</f>
        <v>1706427.41</v>
      </c>
      <c r="V221" s="123"/>
      <c r="W221" s="123"/>
      <c r="X221" s="345">
        <f>SUM(X212:X220)</f>
        <v>1471812.2599999998</v>
      </c>
    </row>
    <row r="222" spans="2:24" ht="15.75">
      <c r="B222" s="65" t="s">
        <v>26</v>
      </c>
      <c r="C222" s="65"/>
      <c r="D222" s="65"/>
      <c r="E222" s="209"/>
      <c r="F222" s="65"/>
      <c r="G222" s="65"/>
      <c r="H222" s="66"/>
      <c r="I222" s="66"/>
      <c r="J222" s="66"/>
      <c r="K222" s="120"/>
      <c r="L222" s="120"/>
      <c r="M222" s="120"/>
      <c r="N222" s="120"/>
      <c r="O222" s="136"/>
      <c r="P222" s="120"/>
      <c r="Q222" s="120"/>
      <c r="R222" s="123"/>
      <c r="S222" s="123"/>
      <c r="T222" s="123"/>
      <c r="U222" s="122"/>
      <c r="V222" s="123"/>
      <c r="W222" s="123"/>
      <c r="X222" s="122"/>
    </row>
    <row r="223" spans="2:24" ht="17.25" thickBot="1">
      <c r="B223" s="65" t="s">
        <v>124</v>
      </c>
      <c r="C223" s="65"/>
      <c r="D223" s="65"/>
      <c r="E223" s="74"/>
      <c r="F223" s="65"/>
      <c r="G223" s="65"/>
      <c r="H223" s="68">
        <v>1306963.61</v>
      </c>
      <c r="I223" s="67"/>
      <c r="J223" s="67"/>
      <c r="K223" s="120"/>
      <c r="L223" s="120"/>
      <c r="M223" s="120"/>
      <c r="N223" s="120"/>
      <c r="O223" s="93">
        <f>+'Depreciación Acumulada'!E51</f>
        <v>1052937.16</v>
      </c>
      <c r="P223" s="93">
        <f>+'Depreciación Acumulada'!F51</f>
        <v>1062776.68</v>
      </c>
      <c r="Q223" s="93">
        <f>+'Depreciación Acumulada'!G51</f>
        <v>1510787.0899999999</v>
      </c>
      <c r="R223" s="123"/>
      <c r="S223" s="123"/>
      <c r="T223" s="324">
        <v>1434403.49</v>
      </c>
      <c r="U223" s="324">
        <v>1358019.89</v>
      </c>
      <c r="V223" s="123"/>
      <c r="W223" s="123"/>
      <c r="X223" s="324">
        <v>1322569.36</v>
      </c>
    </row>
    <row r="224" spans="2:24" ht="18.75">
      <c r="B224" s="117" t="s">
        <v>125</v>
      </c>
      <c r="C224" s="65"/>
      <c r="D224" s="65"/>
      <c r="E224" s="65"/>
      <c r="F224" s="65"/>
      <c r="G224" s="65"/>
      <c r="H224" s="74">
        <f>+H221-H223</f>
        <v>131808.64999999967</v>
      </c>
      <c r="I224" s="74"/>
      <c r="J224" s="74"/>
      <c r="K224" s="120"/>
      <c r="L224" s="120"/>
      <c r="M224" s="120"/>
      <c r="N224" s="120"/>
      <c r="O224" s="237">
        <f>+O221-O223</f>
        <v>14963.199999999953</v>
      </c>
      <c r="P224" s="237">
        <f>+P221-P223</f>
        <v>5123.679999999935</v>
      </c>
      <c r="Q224" s="238">
        <f>+Q221-Q223</f>
        <v>230821.19000000018</v>
      </c>
      <c r="R224" s="123"/>
      <c r="S224" s="123"/>
      <c r="T224" s="346">
        <f>+T221-T223</f>
        <v>276433.9199999999</v>
      </c>
      <c r="U224" s="346">
        <f>+U221-U223</f>
        <v>348407.52</v>
      </c>
      <c r="V224" s="123"/>
      <c r="W224" s="123"/>
      <c r="X224" s="346">
        <f>+X221-X223</f>
        <v>149242.89999999967</v>
      </c>
    </row>
    <row r="225" spans="2:24" ht="16.5">
      <c r="B225" s="77"/>
      <c r="C225" s="13"/>
      <c r="D225" s="13"/>
      <c r="E225" s="13"/>
      <c r="F225" s="13"/>
      <c r="G225" s="13"/>
      <c r="H225" s="11"/>
      <c r="I225" s="11"/>
      <c r="J225" s="11"/>
      <c r="U225" s="326"/>
      <c r="X225" s="326"/>
    </row>
    <row r="226" spans="2:24" ht="15">
      <c r="B226" s="13"/>
      <c r="C226" s="13"/>
      <c r="D226" s="13"/>
      <c r="E226" s="13"/>
      <c r="F226" s="13"/>
      <c r="G226" s="13"/>
      <c r="H226" s="7"/>
      <c r="I226" s="7"/>
      <c r="J226" s="7"/>
      <c r="O226" s="494" t="s">
        <v>665</v>
      </c>
      <c r="P226" s="494"/>
      <c r="Q226" s="249"/>
      <c r="X226" s="326"/>
    </row>
    <row r="227" spans="2:24" ht="18.75">
      <c r="B227" s="117" t="s">
        <v>126</v>
      </c>
      <c r="C227" s="13"/>
      <c r="D227" s="13"/>
      <c r="E227" s="13"/>
      <c r="F227" s="13"/>
      <c r="G227" s="13"/>
      <c r="H227" s="7"/>
      <c r="I227" s="7"/>
      <c r="J227" s="7"/>
      <c r="O227" s="118">
        <v>2021</v>
      </c>
      <c r="P227" s="118">
        <v>2020</v>
      </c>
      <c r="Q227" s="118">
        <v>2019</v>
      </c>
      <c r="T227" s="317">
        <v>2018</v>
      </c>
      <c r="U227" s="335">
        <v>2017</v>
      </c>
      <c r="V227" s="340"/>
      <c r="W227" s="340"/>
      <c r="X227" s="335">
        <v>2016</v>
      </c>
    </row>
    <row r="228" spans="2:24" ht="15.75">
      <c r="B228" s="65" t="s">
        <v>29</v>
      </c>
      <c r="C228" s="65"/>
      <c r="D228" s="65"/>
      <c r="E228" s="65"/>
      <c r="F228" s="65"/>
      <c r="G228" s="65"/>
      <c r="H228" s="66">
        <v>193259.18</v>
      </c>
      <c r="I228" s="66"/>
      <c r="J228" s="66"/>
      <c r="K228" s="120"/>
      <c r="L228" s="120"/>
      <c r="M228" s="120"/>
      <c r="N228" s="120"/>
      <c r="O228" s="72">
        <v>366284.46</v>
      </c>
      <c r="P228" s="72">
        <v>194196.98</v>
      </c>
      <c r="Q228" s="72">
        <v>242813.85</v>
      </c>
      <c r="R228" s="123"/>
      <c r="S228" s="123"/>
      <c r="T228" s="122">
        <v>193259.18</v>
      </c>
      <c r="U228" s="122">
        <v>193259.18</v>
      </c>
      <c r="V228" s="123"/>
      <c r="W228" s="123"/>
      <c r="X228" s="122">
        <v>193259.18</v>
      </c>
    </row>
    <row r="229" spans="2:31" s="176" customFormat="1" ht="15.75">
      <c r="B229" s="65" t="s">
        <v>32</v>
      </c>
      <c r="C229" s="65"/>
      <c r="D229" s="65"/>
      <c r="E229" s="65"/>
      <c r="F229" s="65"/>
      <c r="G229" s="65"/>
      <c r="H229" s="66"/>
      <c r="I229" s="66"/>
      <c r="J229" s="66"/>
      <c r="K229" s="136"/>
      <c r="L229" s="136"/>
      <c r="M229" s="136"/>
      <c r="N229" s="136"/>
      <c r="O229" s="72">
        <v>128353.58</v>
      </c>
      <c r="P229" s="72"/>
      <c r="Q229" s="72"/>
      <c r="R229" s="123"/>
      <c r="S229" s="123"/>
      <c r="T229" s="122"/>
      <c r="U229" s="122"/>
      <c r="V229" s="123"/>
      <c r="W229" s="123"/>
      <c r="X229" s="122"/>
      <c r="Y229" s="133"/>
      <c r="Z229" s="133"/>
      <c r="AA229" s="133"/>
      <c r="AB229" s="133"/>
      <c r="AC229" s="133"/>
      <c r="AD229" s="133"/>
      <c r="AE229" s="133"/>
    </row>
    <row r="230" spans="2:24" ht="15.75" hidden="1">
      <c r="B230" s="65" t="s">
        <v>276</v>
      </c>
      <c r="C230" s="65"/>
      <c r="D230" s="65"/>
      <c r="E230" s="65"/>
      <c r="F230" s="65"/>
      <c r="G230" s="65"/>
      <c r="H230" s="66">
        <v>13033.57</v>
      </c>
      <c r="I230" s="66"/>
      <c r="J230" s="66"/>
      <c r="K230" s="120"/>
      <c r="L230" s="120"/>
      <c r="M230" s="120"/>
      <c r="N230" s="120"/>
      <c r="O230" s="72"/>
      <c r="P230" s="72"/>
      <c r="Q230" s="72">
        <v>13033.57</v>
      </c>
      <c r="R230" s="123"/>
      <c r="S230" s="123"/>
      <c r="T230" s="122">
        <v>13033.57</v>
      </c>
      <c r="U230" s="122">
        <v>13033.57</v>
      </c>
      <c r="V230" s="123"/>
      <c r="W230" s="123"/>
      <c r="X230" s="122">
        <v>13033.57</v>
      </c>
    </row>
    <row r="231" spans="2:24" ht="15.75" hidden="1">
      <c r="B231" s="65" t="s">
        <v>121</v>
      </c>
      <c r="C231" s="65"/>
      <c r="D231" s="65"/>
      <c r="E231" s="65"/>
      <c r="F231" s="65"/>
      <c r="G231" s="65"/>
      <c r="H231" s="66">
        <v>0</v>
      </c>
      <c r="I231" s="66"/>
      <c r="J231" s="66"/>
      <c r="K231" s="120"/>
      <c r="L231" s="120"/>
      <c r="M231" s="120"/>
      <c r="N231" s="120"/>
      <c r="O231" s="72"/>
      <c r="P231" s="72"/>
      <c r="Q231" s="72"/>
      <c r="R231" s="123"/>
      <c r="S231" s="123"/>
      <c r="T231" s="122"/>
      <c r="U231" s="122"/>
      <c r="V231" s="123"/>
      <c r="W231" s="123"/>
      <c r="X231" s="122"/>
    </row>
    <row r="232" spans="2:24" ht="15.75" hidden="1">
      <c r="B232" s="65" t="s">
        <v>31</v>
      </c>
      <c r="C232" s="65"/>
      <c r="D232" s="65"/>
      <c r="E232" s="65"/>
      <c r="F232" s="65"/>
      <c r="G232" s="65"/>
      <c r="H232" s="66">
        <v>0</v>
      </c>
      <c r="I232" s="66"/>
      <c r="J232" s="66"/>
      <c r="K232" s="120"/>
      <c r="L232" s="120"/>
      <c r="M232" s="120"/>
      <c r="N232" s="120"/>
      <c r="O232" s="72"/>
      <c r="P232" s="72"/>
      <c r="Q232" s="72"/>
      <c r="R232" s="123"/>
      <c r="S232" s="123"/>
      <c r="T232" s="122"/>
      <c r="U232" s="122"/>
      <c r="V232" s="123"/>
      <c r="W232" s="123"/>
      <c r="X232" s="122"/>
    </row>
    <row r="233" spans="2:24" ht="15.75" hidden="1">
      <c r="B233" s="65" t="s">
        <v>32</v>
      </c>
      <c r="C233" s="65"/>
      <c r="D233" s="65"/>
      <c r="E233" s="65"/>
      <c r="F233" s="65"/>
      <c r="G233" s="65"/>
      <c r="H233" s="66">
        <v>0</v>
      </c>
      <c r="I233" s="66"/>
      <c r="J233" s="66"/>
      <c r="K233" s="120"/>
      <c r="L233" s="120"/>
      <c r="M233" s="120"/>
      <c r="N233" s="120"/>
      <c r="O233" s="72"/>
      <c r="P233" s="72"/>
      <c r="Q233" s="72"/>
      <c r="R233" s="123"/>
      <c r="S233" s="123"/>
      <c r="T233" s="122"/>
      <c r="U233" s="122"/>
      <c r="V233" s="123"/>
      <c r="W233" s="123"/>
      <c r="X233" s="122"/>
    </row>
    <row r="234" spans="2:24" ht="15.75">
      <c r="B234" s="65" t="s">
        <v>444</v>
      </c>
      <c r="C234" s="65"/>
      <c r="D234" s="65"/>
      <c r="E234" s="65"/>
      <c r="F234" s="65"/>
      <c r="G234" s="65"/>
      <c r="H234" s="66">
        <v>2755</v>
      </c>
      <c r="I234" s="66"/>
      <c r="J234" s="66"/>
      <c r="K234" s="120"/>
      <c r="L234" s="120"/>
      <c r="M234" s="120"/>
      <c r="N234" s="120"/>
      <c r="O234" s="72">
        <v>2755</v>
      </c>
      <c r="P234" s="72">
        <v>2755</v>
      </c>
      <c r="Q234" s="72">
        <v>2755</v>
      </c>
      <c r="R234" s="123"/>
      <c r="S234" s="123"/>
      <c r="T234" s="122">
        <v>2755</v>
      </c>
      <c r="U234" s="122">
        <v>2755</v>
      </c>
      <c r="V234" s="123"/>
      <c r="W234" s="123"/>
      <c r="X234" s="122">
        <v>2755</v>
      </c>
    </row>
    <row r="235" spans="2:24" ht="15.75" hidden="1">
      <c r="B235" s="65" t="s">
        <v>122</v>
      </c>
      <c r="C235" s="65"/>
      <c r="D235" s="65"/>
      <c r="E235" s="65"/>
      <c r="F235" s="65"/>
      <c r="G235" s="65"/>
      <c r="H235" s="66">
        <v>0</v>
      </c>
      <c r="I235" s="66"/>
      <c r="J235" s="66"/>
      <c r="K235" s="120"/>
      <c r="L235" s="120"/>
      <c r="M235" s="120"/>
      <c r="N235" s="120"/>
      <c r="O235" s="148"/>
      <c r="P235" s="148"/>
      <c r="Q235" s="148"/>
      <c r="R235" s="123"/>
      <c r="S235" s="123"/>
      <c r="T235" s="122"/>
      <c r="U235" s="122"/>
      <c r="V235" s="123"/>
      <c r="W235" s="123"/>
      <c r="X235" s="122"/>
    </row>
    <row r="236" spans="2:24" ht="15.75" hidden="1">
      <c r="B236" s="65" t="s">
        <v>493</v>
      </c>
      <c r="C236" s="65"/>
      <c r="D236" s="65"/>
      <c r="E236" s="65"/>
      <c r="F236" s="65"/>
      <c r="G236" s="65"/>
      <c r="H236" s="66">
        <v>15495</v>
      </c>
      <c r="I236" s="66"/>
      <c r="J236" s="66"/>
      <c r="K236" s="120"/>
      <c r="L236" s="120"/>
      <c r="M236" s="120"/>
      <c r="N236" s="120"/>
      <c r="O236" s="72"/>
      <c r="P236" s="72"/>
      <c r="Q236" s="72">
        <v>15495</v>
      </c>
      <c r="R236" s="123"/>
      <c r="S236" s="123"/>
      <c r="T236" s="122">
        <v>15495</v>
      </c>
      <c r="U236" s="122">
        <v>15495</v>
      </c>
      <c r="V236" s="123"/>
      <c r="W236" s="123"/>
      <c r="X236" s="122">
        <v>15495</v>
      </c>
    </row>
    <row r="237" spans="2:24" ht="15.75">
      <c r="B237" s="65" t="s">
        <v>492</v>
      </c>
      <c r="C237" s="65"/>
      <c r="D237" s="65"/>
      <c r="E237" s="65"/>
      <c r="F237" s="65"/>
      <c r="G237" s="65"/>
      <c r="H237" s="66">
        <v>4995</v>
      </c>
      <c r="I237" s="66"/>
      <c r="J237" s="66"/>
      <c r="K237" s="120"/>
      <c r="L237" s="120"/>
      <c r="M237" s="120"/>
      <c r="N237" s="120"/>
      <c r="O237" s="72">
        <v>4995</v>
      </c>
      <c r="P237" s="72">
        <v>4995</v>
      </c>
      <c r="Q237" s="72">
        <v>4995</v>
      </c>
      <c r="R237" s="123"/>
      <c r="S237" s="123"/>
      <c r="T237" s="122">
        <v>4995</v>
      </c>
      <c r="U237" s="122">
        <v>4995</v>
      </c>
      <c r="V237" s="123"/>
      <c r="W237" s="123"/>
      <c r="X237" s="122">
        <v>4995</v>
      </c>
    </row>
    <row r="238" spans="2:24" ht="19.5" thickBot="1">
      <c r="B238" s="139" t="s">
        <v>123</v>
      </c>
      <c r="C238" s="65"/>
      <c r="D238" s="65"/>
      <c r="E238" s="65"/>
      <c r="F238" s="65"/>
      <c r="G238" s="65"/>
      <c r="H238" s="68">
        <v>35453.4</v>
      </c>
      <c r="I238" s="66"/>
      <c r="J238" s="66"/>
      <c r="K238" s="120"/>
      <c r="L238" s="120"/>
      <c r="M238" s="120"/>
      <c r="N238" s="120"/>
      <c r="O238" s="73">
        <v>4708.35</v>
      </c>
      <c r="P238" s="73">
        <v>4708.35</v>
      </c>
      <c r="Q238" s="73">
        <f>35453.4+7056.4</f>
        <v>42509.8</v>
      </c>
      <c r="R238" s="123"/>
      <c r="S238" s="123"/>
      <c r="T238" s="324">
        <f>35453.4+7056.4</f>
        <v>42509.8</v>
      </c>
      <c r="U238" s="324">
        <v>35453.4</v>
      </c>
      <c r="V238" s="123"/>
      <c r="W238" s="123"/>
      <c r="X238" s="324">
        <v>35453.4</v>
      </c>
    </row>
    <row r="239" spans="2:24" ht="16.5">
      <c r="B239" s="65"/>
      <c r="C239" s="65"/>
      <c r="D239" s="65"/>
      <c r="E239" s="65"/>
      <c r="F239" s="65"/>
      <c r="G239" s="65"/>
      <c r="H239" s="74">
        <f>SUM(H228:H238)</f>
        <v>264991.15</v>
      </c>
      <c r="I239" s="66"/>
      <c r="J239" s="66"/>
      <c r="K239" s="120"/>
      <c r="L239" s="120"/>
      <c r="M239" s="120"/>
      <c r="N239" s="120"/>
      <c r="O239" s="131">
        <f>SUM(O228:O238)</f>
        <v>507096.39</v>
      </c>
      <c r="P239" s="131">
        <f>SUM(P228:P238)</f>
        <v>206655.33000000002</v>
      </c>
      <c r="Q239" s="131">
        <f>SUM(Q228:Q238)</f>
        <v>321602.22000000003</v>
      </c>
      <c r="R239" s="123"/>
      <c r="S239" s="123"/>
      <c r="T239" s="132">
        <f>SUM(T228:T238)</f>
        <v>272047.55</v>
      </c>
      <c r="U239" s="132">
        <f>SUM(U228:U238)</f>
        <v>264991.15</v>
      </c>
      <c r="V239" s="123"/>
      <c r="W239" s="123"/>
      <c r="X239" s="132">
        <f>SUM(X228:X238)</f>
        <v>264991.15</v>
      </c>
    </row>
    <row r="240" spans="2:24" ht="15.75">
      <c r="B240" s="65" t="s">
        <v>26</v>
      </c>
      <c r="C240" s="65"/>
      <c r="D240" s="65"/>
      <c r="E240" s="65"/>
      <c r="F240" s="65"/>
      <c r="G240" s="65"/>
      <c r="H240" s="66"/>
      <c r="I240" s="66"/>
      <c r="J240" s="66"/>
      <c r="K240" s="120"/>
      <c r="L240" s="120"/>
      <c r="M240" s="120"/>
      <c r="N240" s="120"/>
      <c r="O240" s="136"/>
      <c r="P240" s="120"/>
      <c r="Q240" s="120"/>
      <c r="R240" s="123"/>
      <c r="S240" s="123"/>
      <c r="T240" s="123"/>
      <c r="U240" s="122"/>
      <c r="V240" s="123"/>
      <c r="W240" s="123"/>
      <c r="X240" s="122"/>
    </row>
    <row r="241" spans="2:24" ht="16.5" thickBot="1">
      <c r="B241" s="65" t="s">
        <v>124</v>
      </c>
      <c r="C241" s="65"/>
      <c r="D241" s="65"/>
      <c r="E241" s="65"/>
      <c r="F241" s="65"/>
      <c r="G241" s="65"/>
      <c r="H241" s="68">
        <v>229482.25</v>
      </c>
      <c r="I241" s="66"/>
      <c r="J241" s="66"/>
      <c r="K241" s="120"/>
      <c r="L241" s="120"/>
      <c r="M241" s="120"/>
      <c r="N241" s="120"/>
      <c r="O241" s="93">
        <f>+'Depreciación Acumulada'!E67</f>
        <v>151976.58</v>
      </c>
      <c r="P241" s="93">
        <f>+'Depreciación Acumulada'!F67</f>
        <v>146825.8</v>
      </c>
      <c r="Q241" s="93">
        <f>+'Depreciación Acumulada'!G67</f>
        <v>270092.22</v>
      </c>
      <c r="R241" s="123"/>
      <c r="S241" s="123"/>
      <c r="T241" s="324">
        <v>266538.32</v>
      </c>
      <c r="U241" s="324">
        <v>262984.5</v>
      </c>
      <c r="V241" s="123"/>
      <c r="W241" s="123"/>
      <c r="X241" s="324">
        <v>256976.35</v>
      </c>
    </row>
    <row r="242" spans="2:24" ht="18.75">
      <c r="B242" s="117" t="s">
        <v>125</v>
      </c>
      <c r="C242" s="65"/>
      <c r="D242" s="65"/>
      <c r="E242" s="65"/>
      <c r="F242" s="65"/>
      <c r="G242" s="65"/>
      <c r="H242" s="74">
        <f>+H239-H241</f>
        <v>35508.90000000002</v>
      </c>
      <c r="I242" s="66"/>
      <c r="J242" s="66"/>
      <c r="K242" s="120"/>
      <c r="L242" s="120"/>
      <c r="M242" s="120"/>
      <c r="N242" s="120"/>
      <c r="O242" s="131">
        <f>+O239-O241</f>
        <v>355119.81000000006</v>
      </c>
      <c r="P242" s="131">
        <f>+P239-P241</f>
        <v>59829.53000000003</v>
      </c>
      <c r="Q242" s="131">
        <f>+Q239-Q241</f>
        <v>51510.00000000006</v>
      </c>
      <c r="R242" s="123"/>
      <c r="S242" s="123"/>
      <c r="T242" s="132">
        <f>+T239-T241</f>
        <v>5509.229999999981</v>
      </c>
      <c r="U242" s="132">
        <f>+U239-U241</f>
        <v>2006.6500000000233</v>
      </c>
      <c r="V242" s="123"/>
      <c r="W242" s="123"/>
      <c r="X242" s="132">
        <f>+X239-X241</f>
        <v>8014.8000000000175</v>
      </c>
    </row>
    <row r="243" spans="2:24" ht="18.75">
      <c r="B243" s="117"/>
      <c r="C243" s="65"/>
      <c r="D243" s="65"/>
      <c r="E243" s="65"/>
      <c r="F243" s="65"/>
      <c r="G243" s="65"/>
      <c r="H243" s="74"/>
      <c r="I243" s="66"/>
      <c r="J243" s="66"/>
      <c r="K243" s="120"/>
      <c r="L243" s="120"/>
      <c r="M243" s="120"/>
      <c r="N243" s="120"/>
      <c r="O243" s="136"/>
      <c r="P243" s="120"/>
      <c r="Q243" s="131"/>
      <c r="R243" s="123"/>
      <c r="S243" s="123"/>
      <c r="T243" s="132"/>
      <c r="U243" s="132"/>
      <c r="V243" s="123"/>
      <c r="W243" s="123"/>
      <c r="X243" s="132"/>
    </row>
    <row r="244" spans="2:24" ht="18.75">
      <c r="B244" s="117"/>
      <c r="C244" s="65"/>
      <c r="D244" s="65"/>
      <c r="E244" s="65"/>
      <c r="F244" s="65"/>
      <c r="G244" s="65"/>
      <c r="H244" s="74"/>
      <c r="I244" s="66"/>
      <c r="J244" s="66"/>
      <c r="K244" s="120"/>
      <c r="L244" s="120"/>
      <c r="M244" s="120"/>
      <c r="N244" s="120"/>
      <c r="O244" s="136"/>
      <c r="P244" s="120"/>
      <c r="Q244" s="131"/>
      <c r="R244" s="123"/>
      <c r="S244" s="123"/>
      <c r="T244" s="132"/>
      <c r="U244" s="132"/>
      <c r="V244" s="123"/>
      <c r="W244" s="123"/>
      <c r="X244" s="132"/>
    </row>
    <row r="245" spans="2:24" ht="16.5">
      <c r="B245" s="77"/>
      <c r="C245" s="65"/>
      <c r="D245" s="65"/>
      <c r="E245" s="65"/>
      <c r="F245" s="65"/>
      <c r="G245" s="65"/>
      <c r="H245" s="74"/>
      <c r="I245" s="66"/>
      <c r="J245" s="66"/>
      <c r="K245" s="120"/>
      <c r="L245" s="120"/>
      <c r="M245" s="120"/>
      <c r="N245" s="120"/>
      <c r="O245" s="494" t="s">
        <v>665</v>
      </c>
      <c r="P245" s="494"/>
      <c r="Q245" s="249"/>
      <c r="R245" s="123"/>
      <c r="S245" s="123"/>
      <c r="T245" s="132"/>
      <c r="U245" s="132"/>
      <c r="V245" s="123"/>
      <c r="W245" s="123"/>
      <c r="X245" s="132"/>
    </row>
    <row r="246" spans="2:24" ht="18" customHeight="1">
      <c r="B246" s="77"/>
      <c r="C246" s="65"/>
      <c r="D246" s="65"/>
      <c r="E246" s="65"/>
      <c r="F246" s="65"/>
      <c r="G246" s="65"/>
      <c r="H246" s="74"/>
      <c r="I246" s="66"/>
      <c r="J246" s="66"/>
      <c r="K246" s="120"/>
      <c r="L246" s="120"/>
      <c r="M246" s="120"/>
      <c r="N246" s="120"/>
      <c r="O246" s="118">
        <v>2021</v>
      </c>
      <c r="P246" s="118">
        <v>2020</v>
      </c>
      <c r="Q246" s="118">
        <v>2019</v>
      </c>
      <c r="R246" s="123"/>
      <c r="S246" s="123"/>
      <c r="T246" s="132"/>
      <c r="U246" s="132"/>
      <c r="V246" s="123"/>
      <c r="W246" s="123"/>
      <c r="X246" s="132"/>
    </row>
    <row r="247" spans="2:24" ht="19.5" thickBot="1">
      <c r="B247" s="117" t="s">
        <v>625</v>
      </c>
      <c r="C247" s="13"/>
      <c r="D247" s="13"/>
      <c r="E247" s="13"/>
      <c r="F247" s="13"/>
      <c r="G247" s="13"/>
      <c r="H247" s="13"/>
      <c r="I247" s="13"/>
      <c r="J247" s="66"/>
      <c r="K247" s="120"/>
      <c r="L247" s="120"/>
      <c r="M247" s="120"/>
      <c r="N247" s="120"/>
      <c r="O247" s="136"/>
      <c r="Q247" s="73">
        <v>204959.97</v>
      </c>
      <c r="S247" s="123"/>
      <c r="T247" s="347"/>
      <c r="U247" s="132"/>
      <c r="V247" s="123"/>
      <c r="W247" s="123"/>
      <c r="X247" s="132"/>
    </row>
    <row r="248" spans="2:24" ht="19.5" thickBot="1">
      <c r="B248" s="13" t="s">
        <v>29</v>
      </c>
      <c r="C248" s="13"/>
      <c r="D248" s="13"/>
      <c r="E248" s="13"/>
      <c r="F248" s="13"/>
      <c r="G248" s="13"/>
      <c r="H248" s="100">
        <v>204959.97</v>
      </c>
      <c r="I248" s="100"/>
      <c r="J248" s="7"/>
      <c r="O248" s="73">
        <v>98960</v>
      </c>
      <c r="P248" s="73">
        <v>98960</v>
      </c>
      <c r="Q248" s="131">
        <f>SUM(Q247)</f>
        <v>204959.97</v>
      </c>
      <c r="T248" s="339">
        <f>+T247</f>
        <v>0</v>
      </c>
      <c r="U248" s="335">
        <v>2017</v>
      </c>
      <c r="V248" s="340"/>
      <c r="W248" s="340"/>
      <c r="X248" s="335">
        <v>2016</v>
      </c>
    </row>
    <row r="249" spans="2:31" s="176" customFormat="1" ht="18.75">
      <c r="B249" s="13"/>
      <c r="C249" s="13"/>
      <c r="D249" s="13"/>
      <c r="E249" s="13"/>
      <c r="F249" s="13"/>
      <c r="G249" s="13"/>
      <c r="H249" s="258"/>
      <c r="I249" s="258"/>
      <c r="J249" s="7"/>
      <c r="O249" s="131">
        <f>SUM(O248)</f>
        <v>98960</v>
      </c>
      <c r="P249" s="131">
        <f>SUM(P248)</f>
        <v>98960</v>
      </c>
      <c r="Q249" s="131"/>
      <c r="R249" s="133"/>
      <c r="S249" s="133"/>
      <c r="T249" s="339"/>
      <c r="U249" s="335"/>
      <c r="V249" s="340"/>
      <c r="W249" s="340"/>
      <c r="X249" s="335"/>
      <c r="Y249" s="133"/>
      <c r="Z249" s="133"/>
      <c r="AA249" s="133"/>
      <c r="AB249" s="133"/>
      <c r="AC249" s="133"/>
      <c r="AD249" s="133"/>
      <c r="AE249" s="133"/>
    </row>
    <row r="250" spans="2:24" ht="16.5">
      <c r="B250" s="13" t="s">
        <v>26</v>
      </c>
      <c r="C250" s="13"/>
      <c r="D250" s="13"/>
      <c r="E250" s="13"/>
      <c r="F250" s="13"/>
      <c r="G250" s="13"/>
      <c r="H250" s="101">
        <f>SUM(H248)</f>
        <v>204959.97</v>
      </c>
      <c r="I250" s="101">
        <f>+I248</f>
        <v>0</v>
      </c>
      <c r="J250" s="66"/>
      <c r="K250" s="120"/>
      <c r="L250" s="120"/>
      <c r="M250" s="120"/>
      <c r="N250" s="120"/>
      <c r="O250" s="136"/>
      <c r="Q250" s="13"/>
      <c r="S250" s="123"/>
      <c r="T250" s="327"/>
      <c r="U250" s="122">
        <v>193259.18</v>
      </c>
      <c r="V250" s="123"/>
      <c r="W250" s="123"/>
      <c r="X250" s="122">
        <v>193259.18</v>
      </c>
    </row>
    <row r="251" spans="2:24" ht="17.25" thickBot="1">
      <c r="B251" s="13" t="s">
        <v>124</v>
      </c>
      <c r="C251" s="13"/>
      <c r="D251" s="13"/>
      <c r="E251" s="13"/>
      <c r="F251" s="13"/>
      <c r="G251" s="13"/>
      <c r="H251" s="13"/>
      <c r="I251" s="13"/>
      <c r="J251" s="66"/>
      <c r="K251" s="120"/>
      <c r="L251" s="120"/>
      <c r="M251" s="120"/>
      <c r="N251" s="120"/>
      <c r="O251" s="73">
        <f>+'Depreciación Acumulada'!E74</f>
        <v>25876.88</v>
      </c>
      <c r="P251" s="73">
        <f>+'Depreciación Acumulada'!F74</f>
        <v>15982.28</v>
      </c>
      <c r="Q251" s="73">
        <f>+'Depreciación Acumulada'!G74</f>
        <v>25620</v>
      </c>
      <c r="S251" s="123"/>
      <c r="T251" s="347"/>
      <c r="U251" s="132">
        <f>SUM(U250:U250)</f>
        <v>193259.18</v>
      </c>
      <c r="V251" s="123"/>
      <c r="W251" s="123"/>
      <c r="X251" s="132">
        <f>SUM(X250:X250)</f>
        <v>193259.18</v>
      </c>
    </row>
    <row r="252" spans="2:24" ht="19.5" thickBot="1">
      <c r="B252" s="117" t="s">
        <v>125</v>
      </c>
      <c r="C252" s="13"/>
      <c r="D252" s="13"/>
      <c r="E252" s="13"/>
      <c r="F252" s="13"/>
      <c r="G252" s="13"/>
      <c r="H252" s="100">
        <f>+'[1]Depreciación Acumulada'!B61</f>
        <v>0</v>
      </c>
      <c r="I252" s="100"/>
      <c r="J252" s="66"/>
      <c r="K252" s="120"/>
      <c r="L252" s="120"/>
      <c r="M252" s="120"/>
      <c r="N252" s="120"/>
      <c r="O252" s="131">
        <f>+O249-O251</f>
        <v>73083.12</v>
      </c>
      <c r="P252" s="131">
        <f>+P249-P251</f>
        <v>82977.72</v>
      </c>
      <c r="Q252" s="131">
        <f>+Q247-Q251</f>
        <v>179339.97</v>
      </c>
      <c r="S252" s="123"/>
      <c r="T252" s="339">
        <f>+T247-T251</f>
        <v>0</v>
      </c>
      <c r="U252" s="122"/>
      <c r="V252" s="123"/>
      <c r="W252" s="123"/>
      <c r="X252" s="122"/>
    </row>
    <row r="253" spans="3:24" ht="17.25" thickBot="1">
      <c r="C253" s="13"/>
      <c r="D253" s="13"/>
      <c r="E253" s="13"/>
      <c r="F253" s="13"/>
      <c r="G253" s="13"/>
      <c r="H253" s="101">
        <f>+H248-H252</f>
        <v>204959.97</v>
      </c>
      <c r="I253" s="101">
        <f>+I248-I252</f>
        <v>0</v>
      </c>
      <c r="J253" s="66"/>
      <c r="K253" s="120"/>
      <c r="L253" s="120"/>
      <c r="M253" s="120"/>
      <c r="N253" s="120"/>
      <c r="O253" s="136"/>
      <c r="P253" s="120"/>
      <c r="Q253" s="17"/>
      <c r="S253" s="123"/>
      <c r="T253" s="326"/>
      <c r="U253" s="324">
        <v>262984.5</v>
      </c>
      <c r="V253" s="123"/>
      <c r="W253" s="123"/>
      <c r="X253" s="324">
        <v>256976.35</v>
      </c>
    </row>
    <row r="254" spans="2:24" ht="16.5">
      <c r="B254" s="13"/>
      <c r="C254" s="13"/>
      <c r="D254" s="13"/>
      <c r="E254" s="13"/>
      <c r="F254" s="13"/>
      <c r="G254" s="13"/>
      <c r="H254" s="17"/>
      <c r="I254" s="17"/>
      <c r="J254" s="66"/>
      <c r="K254" s="120"/>
      <c r="L254" s="120"/>
      <c r="M254" s="120"/>
      <c r="N254" s="120"/>
      <c r="O254" s="494" t="s">
        <v>665</v>
      </c>
      <c r="P254" s="494"/>
      <c r="Q254" s="249"/>
      <c r="S254" s="123"/>
      <c r="T254" s="327"/>
      <c r="U254" s="132">
        <f>+U251-U253</f>
        <v>-69725.32</v>
      </c>
      <c r="V254" s="123"/>
      <c r="W254" s="123"/>
      <c r="X254" s="132">
        <f>+X251-X253</f>
        <v>-63717.17000000001</v>
      </c>
    </row>
    <row r="255" spans="2:24" ht="18.75">
      <c r="B255" s="117" t="s">
        <v>626</v>
      </c>
      <c r="C255" s="13"/>
      <c r="D255" s="13"/>
      <c r="E255" s="13"/>
      <c r="F255" s="13"/>
      <c r="G255" s="13"/>
      <c r="H255" s="13"/>
      <c r="I255" s="13"/>
      <c r="J255" s="66"/>
      <c r="K255" s="120"/>
      <c r="L255" s="120"/>
      <c r="M255" s="120"/>
      <c r="N255" s="120"/>
      <c r="O255" s="118">
        <v>2021</v>
      </c>
      <c r="P255" s="118">
        <v>2020</v>
      </c>
      <c r="Q255" s="118">
        <v>2019</v>
      </c>
      <c r="S255" s="123"/>
      <c r="T255" s="327"/>
      <c r="U255" s="132"/>
      <c r="V255" s="123"/>
      <c r="W255" s="123"/>
      <c r="X255" s="132"/>
    </row>
    <row r="256" spans="2:24" ht="16.5" thickBot="1">
      <c r="B256" s="13" t="s">
        <v>29</v>
      </c>
      <c r="C256" s="13"/>
      <c r="D256" s="13"/>
      <c r="E256" s="13"/>
      <c r="F256" s="13"/>
      <c r="G256" s="13"/>
      <c r="H256" s="13"/>
      <c r="I256" s="13"/>
      <c r="J256" s="66"/>
      <c r="K256" s="120"/>
      <c r="L256" s="120"/>
      <c r="M256" s="120"/>
      <c r="N256" s="120"/>
      <c r="O256" s="73">
        <v>122771.15</v>
      </c>
      <c r="P256" s="73">
        <v>123476.44</v>
      </c>
      <c r="Q256" s="73">
        <v>123476.44</v>
      </c>
      <c r="S256" s="123"/>
      <c r="T256" s="347"/>
      <c r="U256" s="122"/>
      <c r="V256" s="123"/>
      <c r="W256" s="123"/>
      <c r="X256" s="122"/>
    </row>
    <row r="257" spans="2:24" ht="17.25" hidden="1" thickBot="1">
      <c r="B257" s="13" t="s">
        <v>29</v>
      </c>
      <c r="C257" s="13"/>
      <c r="D257" s="13"/>
      <c r="E257" s="13"/>
      <c r="F257" s="13"/>
      <c r="G257" s="13"/>
      <c r="H257" s="100">
        <v>123476.44</v>
      </c>
      <c r="I257" s="100"/>
      <c r="J257" s="66"/>
      <c r="K257" s="120"/>
      <c r="L257" s="120"/>
      <c r="M257" s="120"/>
      <c r="N257" s="120"/>
      <c r="O257" s="136"/>
      <c r="P257" s="120"/>
      <c r="Q257" s="101">
        <f>SUM(Q256)</f>
        <v>123476.44</v>
      </c>
      <c r="R257" s="339">
        <f>+T256</f>
        <v>0</v>
      </c>
      <c r="S257" s="123"/>
      <c r="T257" s="123"/>
      <c r="U257" s="122"/>
      <c r="V257" s="123"/>
      <c r="W257" s="123"/>
      <c r="X257" s="122"/>
    </row>
    <row r="258" spans="2:24" ht="16.5" hidden="1">
      <c r="B258" s="13"/>
      <c r="C258" s="13"/>
      <c r="D258" s="13"/>
      <c r="E258" s="13"/>
      <c r="F258" s="13"/>
      <c r="G258" s="13"/>
      <c r="H258" s="101">
        <f>SUM(H257)</f>
        <v>123476.44</v>
      </c>
      <c r="I258" s="101">
        <f>+I257</f>
        <v>0</v>
      </c>
      <c r="J258" s="66"/>
      <c r="K258" s="120"/>
      <c r="L258" s="120"/>
      <c r="M258" s="120"/>
      <c r="N258" s="120"/>
      <c r="O258" s="136"/>
      <c r="P258" s="120"/>
      <c r="Q258" s="13"/>
      <c r="R258" s="327"/>
      <c r="S258" s="123"/>
      <c r="T258" s="123"/>
      <c r="U258" s="122"/>
      <c r="V258" s="123"/>
      <c r="W258" s="123"/>
      <c r="X258" s="122"/>
    </row>
    <row r="259" spans="2:24" ht="16.5" hidden="1" thickBot="1">
      <c r="B259" s="13" t="s">
        <v>26</v>
      </c>
      <c r="C259" s="13"/>
      <c r="D259" s="13"/>
      <c r="E259" s="13"/>
      <c r="F259" s="13"/>
      <c r="G259" s="13"/>
      <c r="H259" s="13"/>
      <c r="I259" s="13"/>
      <c r="J259" s="66"/>
      <c r="K259" s="120"/>
      <c r="L259" s="120"/>
      <c r="M259" s="120"/>
      <c r="N259" s="120"/>
      <c r="O259" s="136"/>
      <c r="P259" s="120"/>
      <c r="Q259" s="100" t="str">
        <f>+'[1]Depreciación Acumulada'!H67</f>
        <v>ok</v>
      </c>
      <c r="R259" s="347">
        <f>+'[1]Depreciación Acumulada'!J67</f>
        <v>0</v>
      </c>
      <c r="S259" s="123"/>
      <c r="T259" s="123"/>
      <c r="U259" s="122"/>
      <c r="V259" s="123"/>
      <c r="W259" s="123"/>
      <c r="X259" s="122"/>
    </row>
    <row r="260" spans="2:24" ht="17.25" hidden="1" thickBot="1">
      <c r="B260" s="13" t="s">
        <v>124</v>
      </c>
      <c r="C260" s="13"/>
      <c r="D260" s="13"/>
      <c r="E260" s="13"/>
      <c r="F260" s="13"/>
      <c r="G260" s="13"/>
      <c r="H260" s="100">
        <f>+'[1]Depreciación Acumulada'!B68</f>
        <v>0</v>
      </c>
      <c r="I260" s="100">
        <f>+'[1]Depreciación Acumulada'!D68</f>
        <v>4995</v>
      </c>
      <c r="J260" s="66"/>
      <c r="K260" s="120"/>
      <c r="L260" s="120"/>
      <c r="M260" s="120"/>
      <c r="N260" s="120"/>
      <c r="O260" s="136"/>
      <c r="P260" s="120"/>
      <c r="Q260" s="101" t="e">
        <f>+Q256-Q259</f>
        <v>#VALUE!</v>
      </c>
      <c r="R260" s="339">
        <f>+T256-R259</f>
        <v>0</v>
      </c>
      <c r="S260" s="123"/>
      <c r="T260" s="123"/>
      <c r="U260" s="122"/>
      <c r="V260" s="123"/>
      <c r="W260" s="123"/>
      <c r="X260" s="122"/>
    </row>
    <row r="261" spans="2:24" ht="16.5" hidden="1">
      <c r="B261" s="77" t="s">
        <v>125</v>
      </c>
      <c r="C261" s="13"/>
      <c r="D261" s="13"/>
      <c r="E261" s="13"/>
      <c r="F261" s="13"/>
      <c r="G261" s="13"/>
      <c r="H261" s="101">
        <f>+H257-H260</f>
        <v>123476.44</v>
      </c>
      <c r="I261" s="101">
        <f>+I257-I260</f>
        <v>-4995</v>
      </c>
      <c r="J261" s="66"/>
      <c r="K261" s="120"/>
      <c r="L261" s="120"/>
      <c r="M261" s="120"/>
      <c r="N261" s="120"/>
      <c r="O261" s="136"/>
      <c r="P261" s="120"/>
      <c r="Q261" s="120"/>
      <c r="R261" s="123"/>
      <c r="S261" s="123"/>
      <c r="T261" s="123"/>
      <c r="U261" s="122"/>
      <c r="V261" s="123"/>
      <c r="W261" s="123"/>
      <c r="X261" s="122"/>
    </row>
    <row r="262" spans="2:24" ht="15.75" hidden="1">
      <c r="B262" s="65" t="s">
        <v>26</v>
      </c>
      <c r="C262" s="65"/>
      <c r="D262" s="65"/>
      <c r="E262" s="65"/>
      <c r="F262" s="65"/>
      <c r="G262" s="65"/>
      <c r="H262" s="66"/>
      <c r="I262" s="66"/>
      <c r="J262" s="66"/>
      <c r="K262" s="120"/>
      <c r="L262" s="120"/>
      <c r="M262" s="120"/>
      <c r="N262" s="120"/>
      <c r="O262" s="136"/>
      <c r="P262" s="120"/>
      <c r="Q262" s="120"/>
      <c r="R262" s="123"/>
      <c r="S262" s="123"/>
      <c r="T262" s="123"/>
      <c r="U262" s="122"/>
      <c r="V262" s="123"/>
      <c r="W262" s="123"/>
      <c r="X262" s="122"/>
    </row>
    <row r="263" spans="2:24" ht="16.5" hidden="1" thickBot="1">
      <c r="B263" s="65" t="s">
        <v>124</v>
      </c>
      <c r="C263" s="65"/>
      <c r="D263" s="65"/>
      <c r="E263" s="65"/>
      <c r="F263" s="65"/>
      <c r="G263" s="65"/>
      <c r="H263" s="68"/>
      <c r="I263" s="66"/>
      <c r="J263" s="66"/>
      <c r="K263" s="120"/>
      <c r="L263" s="120"/>
      <c r="M263" s="120"/>
      <c r="N263" s="120"/>
      <c r="O263" s="136"/>
      <c r="P263" s="120"/>
      <c r="Q263" s="120"/>
      <c r="R263" s="123"/>
      <c r="S263" s="123"/>
      <c r="T263" s="123"/>
      <c r="U263" s="122"/>
      <c r="V263" s="123"/>
      <c r="W263" s="123"/>
      <c r="X263" s="122"/>
    </row>
    <row r="264" spans="2:24" ht="16.5" hidden="1">
      <c r="B264" s="77" t="s">
        <v>125</v>
      </c>
      <c r="C264" s="65"/>
      <c r="D264" s="65"/>
      <c r="E264" s="65"/>
      <c r="F264" s="65"/>
      <c r="G264" s="65"/>
      <c r="H264" s="74">
        <f>+H261-H263</f>
        <v>123476.44</v>
      </c>
      <c r="I264" s="66"/>
      <c r="J264" s="66"/>
      <c r="K264" s="120"/>
      <c r="L264" s="120"/>
      <c r="M264" s="120"/>
      <c r="N264" s="120"/>
      <c r="O264" s="136"/>
      <c r="P264" s="120"/>
      <c r="Q264" s="120"/>
      <c r="R264" s="123"/>
      <c r="S264" s="123"/>
      <c r="T264" s="123"/>
      <c r="U264" s="122"/>
      <c r="V264" s="123"/>
      <c r="W264" s="123"/>
      <c r="X264" s="122"/>
    </row>
    <row r="265" spans="2:24" ht="15.75" hidden="1">
      <c r="B265" s="65"/>
      <c r="C265" s="65"/>
      <c r="D265" s="65"/>
      <c r="E265" s="65"/>
      <c r="F265" s="65"/>
      <c r="G265" s="65"/>
      <c r="H265" s="66"/>
      <c r="I265" s="66"/>
      <c r="J265" s="66"/>
      <c r="K265" s="120"/>
      <c r="L265" s="120"/>
      <c r="M265" s="120"/>
      <c r="N265" s="120"/>
      <c r="O265" s="136"/>
      <c r="P265" s="120"/>
      <c r="Q265" s="120"/>
      <c r="R265" s="123"/>
      <c r="S265" s="123"/>
      <c r="T265" s="123"/>
      <c r="U265" s="122"/>
      <c r="V265" s="123"/>
      <c r="W265" s="123"/>
      <c r="X265" s="122"/>
    </row>
    <row r="266" spans="2:24" ht="15.75">
      <c r="B266" s="13" t="s">
        <v>26</v>
      </c>
      <c r="C266" s="65"/>
      <c r="D266" s="65"/>
      <c r="E266" s="65"/>
      <c r="F266" s="65"/>
      <c r="G266" s="65"/>
      <c r="H266" s="66"/>
      <c r="I266" s="66"/>
      <c r="J266" s="66"/>
      <c r="K266" s="120"/>
      <c r="L266" s="120"/>
      <c r="M266" s="120"/>
      <c r="N266" s="120"/>
      <c r="O266" s="136"/>
      <c r="P266" s="120"/>
      <c r="Q266" s="120"/>
      <c r="R266" s="123"/>
      <c r="S266" s="123"/>
      <c r="T266" s="123"/>
      <c r="U266" s="122"/>
      <c r="V266" s="123"/>
      <c r="W266" s="123"/>
      <c r="X266" s="122"/>
    </row>
    <row r="267" spans="2:24" ht="16.5" thickBot="1">
      <c r="B267" s="13" t="s">
        <v>124</v>
      </c>
      <c r="C267" s="13"/>
      <c r="D267" s="13"/>
      <c r="E267" s="13"/>
      <c r="F267" s="13"/>
      <c r="G267" s="13"/>
      <c r="H267" s="66"/>
      <c r="I267" s="66"/>
      <c r="J267" s="66"/>
      <c r="K267" s="120"/>
      <c r="L267" s="120"/>
      <c r="M267" s="120"/>
      <c r="N267" s="120"/>
      <c r="O267" s="73">
        <f>+'Depreciación Acumulada'!E80</f>
        <v>30849.19</v>
      </c>
      <c r="P267" s="73">
        <f>+'Depreciación Acumulada'!F80</f>
        <v>18509.47</v>
      </c>
      <c r="Q267" s="73">
        <f>+'Depreciación Acumulada'!G80</f>
        <v>15434.56</v>
      </c>
      <c r="R267" s="123"/>
      <c r="S267" s="123"/>
      <c r="T267" s="123"/>
      <c r="U267" s="122"/>
      <c r="V267" s="123"/>
      <c r="W267" s="123"/>
      <c r="X267" s="122"/>
    </row>
    <row r="268" spans="2:24" ht="16.5">
      <c r="B268" s="77" t="s">
        <v>125</v>
      </c>
      <c r="C268" s="13"/>
      <c r="D268" s="13"/>
      <c r="E268" s="13"/>
      <c r="F268" s="13"/>
      <c r="G268" s="13"/>
      <c r="H268" s="66"/>
      <c r="I268" s="66"/>
      <c r="J268" s="66"/>
      <c r="K268" s="120"/>
      <c r="L268" s="120"/>
      <c r="M268" s="120"/>
      <c r="N268" s="120"/>
      <c r="O268" s="131">
        <f>+O256-O267</f>
        <v>91921.95999999999</v>
      </c>
      <c r="P268" s="131">
        <f>+P256-P267</f>
        <v>104966.97</v>
      </c>
      <c r="Q268" s="131">
        <f>+Q256-Q267</f>
        <v>108041.88</v>
      </c>
      <c r="R268" s="123"/>
      <c r="S268" s="123"/>
      <c r="T268" s="123"/>
      <c r="U268" s="122"/>
      <c r="V268" s="123"/>
      <c r="W268" s="123"/>
      <c r="X268" s="122"/>
    </row>
    <row r="269" spans="2:24" ht="16.5">
      <c r="B269" s="77"/>
      <c r="C269" s="13"/>
      <c r="D269" s="13"/>
      <c r="E269" s="13"/>
      <c r="F269" s="13"/>
      <c r="G269" s="13"/>
      <c r="H269" s="66"/>
      <c r="I269" s="66"/>
      <c r="J269" s="66"/>
      <c r="K269" s="120"/>
      <c r="L269" s="120"/>
      <c r="M269" s="120"/>
      <c r="N269" s="120"/>
      <c r="O269" s="136"/>
      <c r="P269" s="102"/>
      <c r="Q269" s="102"/>
      <c r="R269" s="123"/>
      <c r="S269" s="123"/>
      <c r="T269" s="323"/>
      <c r="U269" s="122"/>
      <c r="V269" s="123"/>
      <c r="W269" s="123"/>
      <c r="X269" s="122"/>
    </row>
    <row r="270" spans="2:24" ht="21" thickBot="1">
      <c r="B270" s="208" t="s">
        <v>129</v>
      </c>
      <c r="C270" s="65"/>
      <c r="D270" s="65"/>
      <c r="E270" s="65"/>
      <c r="F270" s="65"/>
      <c r="G270" s="65"/>
      <c r="H270" s="138">
        <f>+H192+H208+H224+H242+H264</f>
        <v>5793388.460000007</v>
      </c>
      <c r="I270" s="66"/>
      <c r="J270" s="66"/>
      <c r="K270" s="120"/>
      <c r="L270" s="120"/>
      <c r="M270" s="120"/>
      <c r="N270" s="120"/>
      <c r="O270" s="131">
        <f>+O192+O208+O224+O242+O252+O268</f>
        <v>15225944.22</v>
      </c>
      <c r="P270" s="131">
        <f>+P192+P208+P224+P242+P252+P268</f>
        <v>16653974.300000004</v>
      </c>
      <c r="Q270" s="131">
        <f>+Q192+Q208+Q224+Q242+Q252+Q268</f>
        <v>5729799.560000004</v>
      </c>
      <c r="R270" s="123"/>
      <c r="S270" s="123"/>
      <c r="T270" s="132">
        <f>+T192+T208+T224+T242+T252+T268</f>
        <v>5008898.6899999995</v>
      </c>
      <c r="U270" s="132">
        <f>+U192+U208+U224+U242</f>
        <v>5938076.200000003</v>
      </c>
      <c r="V270" s="123"/>
      <c r="W270" s="123"/>
      <c r="X270" s="132">
        <f>+X192+X208+X224+X242</f>
        <v>5407451.230000008</v>
      </c>
    </row>
    <row r="271" spans="2:24" ht="15.75" thickTop="1">
      <c r="B271" s="13"/>
      <c r="C271" s="13"/>
      <c r="D271" s="13"/>
      <c r="E271" s="13"/>
      <c r="F271" s="13"/>
      <c r="G271" s="13"/>
      <c r="H271" s="7"/>
      <c r="I271" s="7"/>
      <c r="J271" s="7"/>
      <c r="U271" s="326"/>
      <c r="X271" s="326"/>
    </row>
    <row r="272" spans="2:24" ht="26.25" hidden="1">
      <c r="B272" s="115" t="s">
        <v>80</v>
      </c>
      <c r="C272" s="115"/>
      <c r="D272" s="115"/>
      <c r="E272" s="115"/>
      <c r="F272" s="115"/>
      <c r="G272" s="115"/>
      <c r="H272" s="115"/>
      <c r="I272" s="115"/>
      <c r="J272" s="115"/>
      <c r="K272" s="116"/>
      <c r="X272" s="326"/>
    </row>
    <row r="273" spans="2:24" ht="26.25" hidden="1">
      <c r="B273" s="13"/>
      <c r="C273" s="115" t="s">
        <v>81</v>
      </c>
      <c r="D273" s="115"/>
      <c r="E273" s="115"/>
      <c r="F273" s="115"/>
      <c r="G273" s="115"/>
      <c r="H273" s="115"/>
      <c r="I273" s="115"/>
      <c r="J273" s="115"/>
      <c r="K273" s="116"/>
      <c r="X273" s="326"/>
    </row>
    <row r="274" spans="2:24" ht="26.25" hidden="1">
      <c r="B274" s="13"/>
      <c r="C274" s="115" t="s">
        <v>82</v>
      </c>
      <c r="D274" s="115" t="s">
        <v>83</v>
      </c>
      <c r="E274" s="115"/>
      <c r="F274" s="115"/>
      <c r="G274" s="115"/>
      <c r="H274" s="115"/>
      <c r="I274" s="115"/>
      <c r="J274" s="115"/>
      <c r="K274" s="116"/>
      <c r="X274" s="326"/>
    </row>
    <row r="275" spans="2:24" ht="26.25" hidden="1">
      <c r="B275" s="13"/>
      <c r="C275" s="115" t="s">
        <v>481</v>
      </c>
      <c r="D275" s="115"/>
      <c r="E275" s="115"/>
      <c r="F275" s="115"/>
      <c r="G275" s="115"/>
      <c r="H275" s="115"/>
      <c r="I275" s="115"/>
      <c r="J275" s="115"/>
      <c r="K275" s="116"/>
      <c r="X275" s="326"/>
    </row>
    <row r="276" spans="2:24" ht="26.25" hidden="1">
      <c r="B276" s="13"/>
      <c r="C276" s="115"/>
      <c r="D276" s="115"/>
      <c r="E276" s="115" t="s">
        <v>84</v>
      </c>
      <c r="F276" s="115"/>
      <c r="G276" s="115"/>
      <c r="H276" s="115"/>
      <c r="I276" s="115"/>
      <c r="J276" s="115"/>
      <c r="K276" s="116"/>
      <c r="X276" s="326"/>
    </row>
    <row r="277" spans="2:24" ht="15">
      <c r="B277" s="13"/>
      <c r="C277" s="13"/>
      <c r="D277" s="13"/>
      <c r="E277" s="13"/>
      <c r="F277" s="13"/>
      <c r="G277" s="13"/>
      <c r="H277" s="13"/>
      <c r="I277" s="13"/>
      <c r="J277" s="13"/>
      <c r="U277" s="326"/>
      <c r="X277" s="326"/>
    </row>
    <row r="278" spans="2:24" ht="20.25">
      <c r="B278" s="208" t="s">
        <v>131</v>
      </c>
      <c r="C278" s="13"/>
      <c r="D278" s="13"/>
      <c r="E278" s="13"/>
      <c r="F278" s="13"/>
      <c r="G278" s="13"/>
      <c r="H278" s="13"/>
      <c r="I278" s="13"/>
      <c r="J278" s="13"/>
      <c r="X278" s="326"/>
    </row>
    <row r="279" spans="2:24" ht="15.75">
      <c r="B279" s="65" t="s">
        <v>120</v>
      </c>
      <c r="C279" s="13"/>
      <c r="D279" s="13"/>
      <c r="E279" s="13"/>
      <c r="F279" s="13"/>
      <c r="G279" s="13"/>
      <c r="H279" s="13"/>
      <c r="I279" s="13"/>
      <c r="J279" s="13"/>
      <c r="X279" s="326"/>
    </row>
    <row r="280" spans="2:24" ht="15.75">
      <c r="B280" s="65" t="s">
        <v>723</v>
      </c>
      <c r="C280" s="13"/>
      <c r="D280" s="13"/>
      <c r="E280" s="13"/>
      <c r="F280" s="13"/>
      <c r="G280" s="13"/>
      <c r="H280" s="13"/>
      <c r="I280" s="13"/>
      <c r="J280" s="13"/>
      <c r="X280" s="326"/>
    </row>
    <row r="281" spans="2:24" ht="15.75">
      <c r="B281" s="65"/>
      <c r="C281" s="13"/>
      <c r="D281" s="13"/>
      <c r="E281" s="13"/>
      <c r="F281" s="13"/>
      <c r="G281" s="13"/>
      <c r="H281" s="13"/>
      <c r="I281" s="13"/>
      <c r="J281" s="13"/>
      <c r="O281" s="494" t="s">
        <v>665</v>
      </c>
      <c r="P281" s="494"/>
      <c r="Q281" s="249"/>
      <c r="X281" s="326"/>
    </row>
    <row r="282" spans="2:24" ht="18.75">
      <c r="B282" s="117" t="s">
        <v>132</v>
      </c>
      <c r="C282" s="65"/>
      <c r="D282" s="65"/>
      <c r="E282" s="65"/>
      <c r="F282" s="65"/>
      <c r="G282" s="65"/>
      <c r="H282" s="65"/>
      <c r="I282" s="65"/>
      <c r="J282" s="65"/>
      <c r="K282" s="120"/>
      <c r="L282" s="120"/>
      <c r="M282" s="120"/>
      <c r="N282" s="120"/>
      <c r="O282" s="118">
        <v>2021</v>
      </c>
      <c r="P282" s="118">
        <v>2020</v>
      </c>
      <c r="Q282" s="118">
        <v>2019</v>
      </c>
      <c r="R282" s="123"/>
      <c r="S282" s="123"/>
      <c r="T282" s="317">
        <v>2018</v>
      </c>
      <c r="U282" s="335">
        <v>2017</v>
      </c>
      <c r="V282" s="340"/>
      <c r="W282" s="340"/>
      <c r="X282" s="335">
        <v>2016</v>
      </c>
    </row>
    <row r="283" spans="2:24" ht="15.75">
      <c r="B283" s="65" t="s">
        <v>133</v>
      </c>
      <c r="C283" s="65"/>
      <c r="D283" s="65"/>
      <c r="E283" s="65"/>
      <c r="F283" s="65"/>
      <c r="G283" s="65"/>
      <c r="H283" s="66">
        <v>12847616.98</v>
      </c>
      <c r="I283" s="66"/>
      <c r="J283" s="66"/>
      <c r="K283" s="120"/>
      <c r="L283" s="120"/>
      <c r="M283" s="120"/>
      <c r="N283" s="120"/>
      <c r="O283" s="72">
        <v>7024691.27</v>
      </c>
      <c r="P283" s="72">
        <v>4852929.33</v>
      </c>
      <c r="Q283" s="72">
        <v>20267575.18</v>
      </c>
      <c r="R283" s="123"/>
      <c r="S283" s="123"/>
      <c r="T283" s="122">
        <v>17132862.77</v>
      </c>
      <c r="U283" s="122">
        <v>16753845.95</v>
      </c>
      <c r="V283" s="123"/>
      <c r="W283" s="123"/>
      <c r="X283" s="122">
        <v>13542422.96</v>
      </c>
    </row>
    <row r="284" spans="2:24" ht="15.75">
      <c r="B284" s="65" t="s">
        <v>46</v>
      </c>
      <c r="C284" s="65"/>
      <c r="D284" s="65"/>
      <c r="E284" s="65"/>
      <c r="F284" s="65"/>
      <c r="G284" s="65"/>
      <c r="H284" s="66">
        <v>1799700.13</v>
      </c>
      <c r="I284" s="66"/>
      <c r="J284" s="66"/>
      <c r="K284" s="120"/>
      <c r="L284" s="120"/>
      <c r="M284" s="120"/>
      <c r="N284" s="120"/>
      <c r="O284" s="72">
        <v>1360333.32</v>
      </c>
      <c r="P284" s="72">
        <v>1360333.32</v>
      </c>
      <c r="Q284" s="72">
        <v>2370523.44</v>
      </c>
      <c r="R284" s="123"/>
      <c r="S284" s="123"/>
      <c r="T284" s="122">
        <v>2203218.88</v>
      </c>
      <c r="U284" s="122">
        <v>2188218.88</v>
      </c>
      <c r="V284" s="123"/>
      <c r="W284" s="123"/>
      <c r="X284" s="122">
        <v>1809900.13</v>
      </c>
    </row>
    <row r="285" spans="2:24" ht="15.75">
      <c r="B285" s="65" t="s">
        <v>134</v>
      </c>
      <c r="C285" s="65"/>
      <c r="D285" s="65"/>
      <c r="E285" s="65"/>
      <c r="F285" s="65"/>
      <c r="G285" s="65"/>
      <c r="H285" s="66">
        <v>846885.18</v>
      </c>
      <c r="I285" s="66"/>
      <c r="J285" s="66"/>
      <c r="K285" s="120"/>
      <c r="L285" s="120"/>
      <c r="M285" s="120"/>
      <c r="N285" s="120"/>
      <c r="O285" s="72">
        <v>249629.07</v>
      </c>
      <c r="P285" s="72">
        <v>249629.07</v>
      </c>
      <c r="Q285" s="72">
        <v>1217457.52</v>
      </c>
      <c r="R285" s="123"/>
      <c r="S285" s="123"/>
      <c r="T285" s="122">
        <v>1217457.52</v>
      </c>
      <c r="U285" s="122">
        <v>846885.18</v>
      </c>
      <c r="V285" s="123"/>
      <c r="W285" s="123"/>
      <c r="X285" s="122">
        <v>846885.18</v>
      </c>
    </row>
    <row r="286" spans="2:24" ht="15.75">
      <c r="B286" s="65" t="s">
        <v>48</v>
      </c>
      <c r="C286" s="65"/>
      <c r="D286" s="65"/>
      <c r="E286" s="65"/>
      <c r="F286" s="65"/>
      <c r="G286" s="65"/>
      <c r="H286" s="66">
        <v>2606056.52</v>
      </c>
      <c r="I286" s="66"/>
      <c r="J286" s="66"/>
      <c r="K286" s="120"/>
      <c r="L286" s="120"/>
      <c r="M286" s="120"/>
      <c r="N286" s="120"/>
      <c r="O286" s="72">
        <v>282527.28</v>
      </c>
      <c r="P286" s="72">
        <v>282527.28</v>
      </c>
      <c r="Q286" s="72">
        <v>2617007.23</v>
      </c>
      <c r="R286" s="123"/>
      <c r="S286" s="123"/>
      <c r="T286" s="122">
        <v>2617007.23</v>
      </c>
      <c r="U286" s="122">
        <v>2617007.23</v>
      </c>
      <c r="V286" s="123"/>
      <c r="W286" s="123"/>
      <c r="X286" s="122">
        <v>2606056.52</v>
      </c>
    </row>
    <row r="287" spans="2:24" ht="16.5" thickBot="1">
      <c r="B287" s="65" t="s">
        <v>135</v>
      </c>
      <c r="C287" s="65"/>
      <c r="D287" s="65"/>
      <c r="E287" s="65"/>
      <c r="F287" s="65"/>
      <c r="G287" s="65"/>
      <c r="H287" s="68">
        <v>6512175.12</v>
      </c>
      <c r="I287" s="67"/>
      <c r="J287" s="67"/>
      <c r="K287" s="120"/>
      <c r="L287" s="120"/>
      <c r="M287" s="120"/>
      <c r="N287" s="120"/>
      <c r="O287" s="73">
        <v>285495.49</v>
      </c>
      <c r="P287" s="73">
        <f>292495.49</f>
        <v>292495.49</v>
      </c>
      <c r="Q287" s="73">
        <v>8505490.76</v>
      </c>
      <c r="R287" s="123"/>
      <c r="S287" s="123"/>
      <c r="T287" s="324">
        <v>7759928.19</v>
      </c>
      <c r="U287" s="324">
        <v>7695478.54</v>
      </c>
      <c r="V287" s="123"/>
      <c r="W287" s="123"/>
      <c r="X287" s="324">
        <v>7690978.67</v>
      </c>
    </row>
    <row r="288" spans="2:24" ht="16.5">
      <c r="B288" s="65"/>
      <c r="C288" s="65"/>
      <c r="D288" s="65"/>
      <c r="E288" s="65"/>
      <c r="F288" s="65"/>
      <c r="G288" s="65"/>
      <c r="H288" s="74">
        <f>SUM(H283:H287)</f>
        <v>24612433.93</v>
      </c>
      <c r="I288" s="74"/>
      <c r="J288" s="74"/>
      <c r="K288" s="120"/>
      <c r="L288" s="120"/>
      <c r="M288" s="120"/>
      <c r="N288" s="120"/>
      <c r="O288" s="131">
        <f>SUM(O283:O287)</f>
        <v>9202676.43</v>
      </c>
      <c r="P288" s="131">
        <f>SUM(P283:P287)</f>
        <v>7037914.490000001</v>
      </c>
      <c r="Q288" s="131">
        <f>SUM(Q283:Q287)</f>
        <v>34978054.13</v>
      </c>
      <c r="R288" s="123"/>
      <c r="S288" s="123"/>
      <c r="T288" s="132">
        <f>SUM(T283:T287)</f>
        <v>30930474.59</v>
      </c>
      <c r="U288" s="132">
        <f>SUM(U283:U287)</f>
        <v>30101435.779999997</v>
      </c>
      <c r="V288" s="123"/>
      <c r="W288" s="123"/>
      <c r="X288" s="132">
        <f>SUM(X283:X287)</f>
        <v>26496243.46</v>
      </c>
    </row>
    <row r="289" spans="2:24" ht="15.75">
      <c r="B289" s="65" t="s">
        <v>26</v>
      </c>
      <c r="C289" s="65"/>
      <c r="D289" s="65"/>
      <c r="E289" s="65"/>
      <c r="F289" s="65"/>
      <c r="G289" s="65"/>
      <c r="H289" s="66"/>
      <c r="I289" s="66"/>
      <c r="J289" s="66"/>
      <c r="K289" s="120"/>
      <c r="L289" s="120"/>
      <c r="M289" s="120"/>
      <c r="N289" s="120"/>
      <c r="O289" s="136"/>
      <c r="P289" s="120"/>
      <c r="Q289" s="120"/>
      <c r="R289" s="123"/>
      <c r="S289" s="123"/>
      <c r="T289" s="123"/>
      <c r="U289" s="122"/>
      <c r="V289" s="123"/>
      <c r="W289" s="123"/>
      <c r="X289" s="122"/>
    </row>
    <row r="290" spans="2:26" ht="17.25" thickBot="1">
      <c r="B290" s="65" t="s">
        <v>124</v>
      </c>
      <c r="C290" s="65"/>
      <c r="D290" s="65"/>
      <c r="E290" s="65"/>
      <c r="F290" s="65"/>
      <c r="G290" s="65"/>
      <c r="H290" s="68">
        <v>20697337.42</v>
      </c>
      <c r="I290" s="78"/>
      <c r="J290" s="78"/>
      <c r="K290" s="124"/>
      <c r="L290" s="124"/>
      <c r="M290" s="124"/>
      <c r="N290" s="124"/>
      <c r="O290" s="93">
        <f>+'Depreciación Acumulada'!E104</f>
        <v>6315037.37</v>
      </c>
      <c r="P290" s="93">
        <f>+'Depreciación Acumulada'!F104</f>
        <v>4094509.0799999996</v>
      </c>
      <c r="Q290" s="93">
        <f>+'Depreciación Acumulada'!G104</f>
        <v>28333352.93</v>
      </c>
      <c r="R290" s="318"/>
      <c r="S290" s="318"/>
      <c r="T290" s="324">
        <v>26498262.51</v>
      </c>
      <c r="U290" s="324">
        <v>24663172.09</v>
      </c>
      <c r="V290" s="318"/>
      <c r="W290" s="318"/>
      <c r="X290" s="324">
        <v>22531177.71</v>
      </c>
      <c r="Y290" s="325"/>
      <c r="Z290" s="325"/>
    </row>
    <row r="291" spans="2:24" ht="18.75">
      <c r="B291" s="117" t="s">
        <v>125</v>
      </c>
      <c r="C291" s="65"/>
      <c r="D291" s="65"/>
      <c r="E291" s="65"/>
      <c r="F291" s="65"/>
      <c r="G291" s="65"/>
      <c r="H291" s="74">
        <f>+H288-H290</f>
        <v>3915096.509999998</v>
      </c>
      <c r="I291" s="74"/>
      <c r="J291" s="74"/>
      <c r="K291" s="120"/>
      <c r="L291" s="120"/>
      <c r="M291" s="120"/>
      <c r="N291" s="120"/>
      <c r="O291" s="131">
        <f>+O288-O290</f>
        <v>2887639.0599999996</v>
      </c>
      <c r="P291" s="131">
        <f>+P288-P290</f>
        <v>2943405.4100000015</v>
      </c>
      <c r="Q291" s="131">
        <f>+Q288-Q290</f>
        <v>6644701.200000003</v>
      </c>
      <c r="R291" s="123"/>
      <c r="S291" s="123"/>
      <c r="T291" s="132">
        <f>+T288-T290</f>
        <v>4432212.079999998</v>
      </c>
      <c r="U291" s="132">
        <f>+U288-U290</f>
        <v>5438263.689999998</v>
      </c>
      <c r="V291" s="123"/>
      <c r="W291" s="123"/>
      <c r="X291" s="132">
        <f>+X288-X290</f>
        <v>3965065.75</v>
      </c>
    </row>
    <row r="292" spans="2:24" ht="15">
      <c r="B292" s="13"/>
      <c r="C292" s="13"/>
      <c r="D292" s="13"/>
      <c r="E292" s="13"/>
      <c r="F292" s="13"/>
      <c r="G292" s="13"/>
      <c r="H292" s="7"/>
      <c r="I292" s="7"/>
      <c r="J292" s="7"/>
      <c r="U292" s="326"/>
      <c r="X292" s="326"/>
    </row>
    <row r="293" spans="2:24" ht="15">
      <c r="B293" s="13"/>
      <c r="C293" s="13"/>
      <c r="D293" s="13"/>
      <c r="E293" s="13"/>
      <c r="F293" s="13"/>
      <c r="G293" s="13"/>
      <c r="H293" s="7"/>
      <c r="I293" s="7"/>
      <c r="J293" s="7"/>
      <c r="U293" s="326"/>
      <c r="X293" s="326"/>
    </row>
    <row r="294" spans="2:24" ht="15">
      <c r="B294" s="13"/>
      <c r="C294" s="13"/>
      <c r="D294" s="13"/>
      <c r="E294" s="13"/>
      <c r="F294" s="13"/>
      <c r="G294" s="13"/>
      <c r="H294" s="7"/>
      <c r="I294" s="7"/>
      <c r="J294" s="7"/>
      <c r="U294" s="326"/>
      <c r="X294" s="326"/>
    </row>
    <row r="295" spans="2:24" ht="15">
      <c r="B295" s="13"/>
      <c r="C295" s="13"/>
      <c r="D295" s="13"/>
      <c r="E295" s="13"/>
      <c r="F295" s="13"/>
      <c r="G295" s="13"/>
      <c r="H295" s="7"/>
      <c r="I295" s="7"/>
      <c r="J295" s="7"/>
      <c r="O295" s="494" t="s">
        <v>665</v>
      </c>
      <c r="P295" s="494"/>
      <c r="Q295" s="249"/>
      <c r="U295" s="326"/>
      <c r="X295" s="326"/>
    </row>
    <row r="296" spans="2:24" ht="18.75">
      <c r="B296" s="117" t="s">
        <v>136</v>
      </c>
      <c r="C296" s="13"/>
      <c r="D296" s="13"/>
      <c r="E296" s="13"/>
      <c r="F296" s="13"/>
      <c r="G296" s="13"/>
      <c r="H296" s="7"/>
      <c r="I296" s="7"/>
      <c r="J296" s="7"/>
      <c r="O296" s="118">
        <v>2021</v>
      </c>
      <c r="P296" s="118">
        <v>2020</v>
      </c>
      <c r="Q296" s="118">
        <v>2019</v>
      </c>
      <c r="T296" s="317">
        <v>2018</v>
      </c>
      <c r="U296" s="335">
        <v>2017</v>
      </c>
      <c r="V296" s="340"/>
      <c r="W296" s="340"/>
      <c r="X296" s="335">
        <v>2016</v>
      </c>
    </row>
    <row r="297" spans="2:24" ht="15.75">
      <c r="B297" s="65" t="s">
        <v>133</v>
      </c>
      <c r="C297" s="65"/>
      <c r="D297" s="65"/>
      <c r="E297" s="65"/>
      <c r="F297" s="65"/>
      <c r="G297" s="65"/>
      <c r="H297" s="66">
        <v>777749.82</v>
      </c>
      <c r="I297" s="66"/>
      <c r="J297" s="66"/>
      <c r="K297" s="120"/>
      <c r="L297" s="120"/>
      <c r="M297" s="120"/>
      <c r="N297" s="120"/>
      <c r="O297" s="72">
        <v>1446596</v>
      </c>
      <c r="P297" s="72">
        <v>649946.59</v>
      </c>
      <c r="Q297" s="72">
        <v>1172230.26</v>
      </c>
      <c r="R297" s="123"/>
      <c r="S297" s="123"/>
      <c r="T297" s="122">
        <v>1075244.3</v>
      </c>
      <c r="U297" s="122">
        <v>1040814.3</v>
      </c>
      <c r="V297" s="123"/>
      <c r="W297" s="123"/>
      <c r="X297" s="122">
        <v>1040814.3</v>
      </c>
    </row>
    <row r="298" spans="2:24" ht="15.75">
      <c r="B298" s="65" t="s">
        <v>46</v>
      </c>
      <c r="C298" s="65"/>
      <c r="D298" s="65"/>
      <c r="E298" s="65"/>
      <c r="F298" s="65"/>
      <c r="G298" s="65"/>
      <c r="H298" s="66">
        <v>237007.6</v>
      </c>
      <c r="I298" s="66"/>
      <c r="J298" s="66"/>
      <c r="K298" s="120"/>
      <c r="L298" s="120"/>
      <c r="M298" s="120"/>
      <c r="N298" s="120"/>
      <c r="O298" s="72">
        <v>45379</v>
      </c>
      <c r="P298" s="72">
        <v>45379</v>
      </c>
      <c r="Q298" s="72">
        <v>290824.15</v>
      </c>
      <c r="R298" s="123"/>
      <c r="S298" s="123"/>
      <c r="T298" s="122">
        <v>290824.15</v>
      </c>
      <c r="U298" s="122">
        <v>290824.15</v>
      </c>
      <c r="V298" s="123"/>
      <c r="W298" s="123"/>
      <c r="X298" s="122">
        <v>237007.6</v>
      </c>
    </row>
    <row r="299" spans="2:24" ht="15.75">
      <c r="B299" s="65" t="s">
        <v>47</v>
      </c>
      <c r="C299" s="65"/>
      <c r="D299" s="65"/>
      <c r="E299" s="65"/>
      <c r="F299" s="65"/>
      <c r="G299" s="65"/>
      <c r="H299" s="66"/>
      <c r="I299" s="66"/>
      <c r="J299" s="66"/>
      <c r="K299" s="120"/>
      <c r="L299" s="120"/>
      <c r="M299" s="120"/>
      <c r="N299" s="120"/>
      <c r="O299" s="72">
        <v>130490.61</v>
      </c>
      <c r="P299" s="72">
        <v>0</v>
      </c>
      <c r="Q299" s="72">
        <v>130490.61</v>
      </c>
      <c r="R299" s="123"/>
      <c r="S299" s="123"/>
      <c r="T299" s="122">
        <v>130490.61</v>
      </c>
      <c r="U299" s="122"/>
      <c r="V299" s="123"/>
      <c r="W299" s="123"/>
      <c r="X299" s="122"/>
    </row>
    <row r="300" spans="2:24" ht="15.75">
      <c r="B300" s="65" t="s">
        <v>48</v>
      </c>
      <c r="C300" s="65"/>
      <c r="D300" s="65"/>
      <c r="E300" s="65"/>
      <c r="F300" s="65"/>
      <c r="G300" s="65"/>
      <c r="H300" s="67">
        <f>76900-0.02</f>
        <v>76899.98</v>
      </c>
      <c r="I300" s="67"/>
      <c r="J300" s="67"/>
      <c r="K300" s="120"/>
      <c r="L300" s="120"/>
      <c r="M300" s="120"/>
      <c r="N300" s="120"/>
      <c r="O300" s="72">
        <v>92362.03</v>
      </c>
      <c r="P300" s="72">
        <v>92362.03</v>
      </c>
      <c r="Q300" s="72">
        <v>76900</v>
      </c>
      <c r="R300" s="123"/>
      <c r="S300" s="123"/>
      <c r="T300" s="122">
        <v>76900</v>
      </c>
      <c r="U300" s="122">
        <f>76900-0.02</f>
        <v>76899.98</v>
      </c>
      <c r="V300" s="123"/>
      <c r="W300" s="123"/>
      <c r="X300" s="122">
        <f>76900-0.02</f>
        <v>76899.98</v>
      </c>
    </row>
    <row r="301" spans="2:24" ht="16.5" thickBot="1">
      <c r="B301" s="65" t="s">
        <v>256</v>
      </c>
      <c r="C301" s="65"/>
      <c r="D301" s="65"/>
      <c r="E301" s="65"/>
      <c r="F301" s="65"/>
      <c r="G301" s="65"/>
      <c r="H301" s="68">
        <v>203552.51</v>
      </c>
      <c r="I301" s="67"/>
      <c r="J301" s="67"/>
      <c r="K301" s="120"/>
      <c r="L301" s="120"/>
      <c r="M301" s="120"/>
      <c r="N301" s="120"/>
      <c r="O301" s="73">
        <v>0</v>
      </c>
      <c r="P301" s="73">
        <v>0</v>
      </c>
      <c r="Q301" s="73">
        <v>203552.51</v>
      </c>
      <c r="R301" s="123"/>
      <c r="S301" s="123"/>
      <c r="T301" s="324">
        <v>203552.51</v>
      </c>
      <c r="U301" s="324">
        <v>203552.51</v>
      </c>
      <c r="V301" s="123"/>
      <c r="W301" s="123"/>
      <c r="X301" s="324">
        <v>203552.51</v>
      </c>
    </row>
    <row r="302" spans="2:24" ht="16.5">
      <c r="B302" s="65"/>
      <c r="C302" s="65"/>
      <c r="D302" s="65"/>
      <c r="E302" s="65"/>
      <c r="F302" s="65"/>
      <c r="G302" s="65"/>
      <c r="H302" s="74">
        <f>SUM(H297:H301)</f>
        <v>1295209.91</v>
      </c>
      <c r="I302" s="74"/>
      <c r="J302" s="74"/>
      <c r="K302" s="120"/>
      <c r="L302" s="120"/>
      <c r="M302" s="120"/>
      <c r="N302" s="120"/>
      <c r="O302" s="131">
        <f>SUM(O297:O301)</f>
        <v>1714827.6400000001</v>
      </c>
      <c r="P302" s="131">
        <f>SUM(P297:P301)</f>
        <v>787687.62</v>
      </c>
      <c r="Q302" s="131">
        <f>SUM(Q297:Q301)</f>
        <v>1873997.5300000003</v>
      </c>
      <c r="R302" s="123"/>
      <c r="S302" s="123"/>
      <c r="T302" s="132">
        <f>SUM(T297:T301)</f>
        <v>1777011.5700000003</v>
      </c>
      <c r="U302" s="132">
        <f>SUM(U297:U301)</f>
        <v>1612090.9400000002</v>
      </c>
      <c r="V302" s="123"/>
      <c r="W302" s="123"/>
      <c r="X302" s="132">
        <f>SUM(X297:X301)</f>
        <v>1558274.3900000001</v>
      </c>
    </row>
    <row r="303" spans="2:24" ht="15.75">
      <c r="B303" s="65" t="s">
        <v>26</v>
      </c>
      <c r="C303" s="65"/>
      <c r="D303" s="65"/>
      <c r="E303" s="65"/>
      <c r="F303" s="65"/>
      <c r="G303" s="65"/>
      <c r="H303" s="66"/>
      <c r="I303" s="66"/>
      <c r="J303" s="66"/>
      <c r="K303" s="120"/>
      <c r="L303" s="120"/>
      <c r="M303" s="120"/>
      <c r="N303" s="120"/>
      <c r="O303" s="136"/>
      <c r="P303" s="120"/>
      <c r="Q303" s="120"/>
      <c r="R303" s="123"/>
      <c r="S303" s="123"/>
      <c r="T303" s="123"/>
      <c r="U303" s="122"/>
      <c r="V303" s="123"/>
      <c r="W303" s="123"/>
      <c r="X303" s="122"/>
    </row>
    <row r="304" spans="2:24" ht="17.25" thickBot="1">
      <c r="B304" s="65" t="s">
        <v>124</v>
      </c>
      <c r="C304" s="65"/>
      <c r="D304" s="65"/>
      <c r="E304" s="65"/>
      <c r="F304" s="65"/>
      <c r="G304" s="65"/>
      <c r="H304" s="68">
        <v>1209550.38</v>
      </c>
      <c r="I304" s="78"/>
      <c r="J304" s="78"/>
      <c r="K304" s="124"/>
      <c r="L304" s="124"/>
      <c r="M304" s="124"/>
      <c r="N304" s="124"/>
      <c r="O304" s="93">
        <f>+'Depreciación Acumulada'!E126</f>
        <v>942124.8400000001</v>
      </c>
      <c r="P304" s="93">
        <f>+'Depreciación Acumulada'!F126</f>
        <v>765479.5</v>
      </c>
      <c r="Q304" s="93">
        <f>+'Depreciación Acumulada'!G126</f>
        <v>1619664.07</v>
      </c>
      <c r="R304" s="318"/>
      <c r="S304" s="318"/>
      <c r="T304" s="324">
        <v>1517655.42</v>
      </c>
      <c r="U304" s="324">
        <v>1415646.77</v>
      </c>
      <c r="V304" s="318"/>
      <c r="W304" s="318"/>
      <c r="X304" s="324">
        <v>1301941.34</v>
      </c>
    </row>
    <row r="305" spans="2:24" ht="18.75">
      <c r="B305" s="117" t="s">
        <v>125</v>
      </c>
      <c r="C305" s="65"/>
      <c r="D305" s="65"/>
      <c r="E305" s="65"/>
      <c r="F305" s="65"/>
      <c r="G305" s="65"/>
      <c r="H305" s="77">
        <f>+H302-H304</f>
        <v>85659.53000000003</v>
      </c>
      <c r="I305" s="77"/>
      <c r="J305" s="77"/>
      <c r="K305" s="124"/>
      <c r="L305" s="124"/>
      <c r="M305" s="124"/>
      <c r="N305" s="124"/>
      <c r="O305" s="131">
        <f>+O302-O304</f>
        <v>772702.8</v>
      </c>
      <c r="P305" s="131">
        <f>+P302-P304</f>
        <v>22208.119999999995</v>
      </c>
      <c r="Q305" s="131">
        <f>+Q302-Q304</f>
        <v>254333.4600000002</v>
      </c>
      <c r="R305" s="318"/>
      <c r="S305" s="318"/>
      <c r="T305" s="132">
        <f>+T302-T304</f>
        <v>259356.15000000037</v>
      </c>
      <c r="U305" s="132">
        <f>+U302-U304</f>
        <v>196444.17000000016</v>
      </c>
      <c r="V305" s="318"/>
      <c r="W305" s="318"/>
      <c r="X305" s="132">
        <f>+X302-X304</f>
        <v>256333.05000000005</v>
      </c>
    </row>
    <row r="306" spans="2:24" ht="15">
      <c r="B306" s="13"/>
      <c r="C306" s="13"/>
      <c r="D306" s="13"/>
      <c r="E306" s="13"/>
      <c r="F306" s="13"/>
      <c r="G306" s="13"/>
      <c r="H306" s="13"/>
      <c r="I306" s="13"/>
      <c r="J306" s="13"/>
      <c r="U306" s="326"/>
      <c r="X306" s="326"/>
    </row>
    <row r="307" spans="2:24" ht="15">
      <c r="B307" s="13"/>
      <c r="C307" s="13"/>
      <c r="D307" s="13"/>
      <c r="E307" s="13"/>
      <c r="F307" s="13"/>
      <c r="G307" s="13"/>
      <c r="H307" s="13"/>
      <c r="I307" s="13"/>
      <c r="J307" s="13"/>
      <c r="O307" s="494" t="s">
        <v>665</v>
      </c>
      <c r="P307" s="494"/>
      <c r="Q307" s="249"/>
      <c r="U307" s="326"/>
      <c r="X307" s="326"/>
    </row>
    <row r="308" spans="2:24" ht="18.75">
      <c r="B308" s="117" t="s">
        <v>137</v>
      </c>
      <c r="C308" s="13"/>
      <c r="D308" s="13"/>
      <c r="E308" s="13"/>
      <c r="F308" s="13"/>
      <c r="G308" s="13"/>
      <c r="H308" s="13"/>
      <c r="I308" s="13"/>
      <c r="J308" s="13"/>
      <c r="O308" s="118">
        <v>2021</v>
      </c>
      <c r="P308" s="118">
        <v>2020</v>
      </c>
      <c r="Q308" s="118">
        <v>2019</v>
      </c>
      <c r="T308" s="317">
        <v>2018</v>
      </c>
      <c r="U308" s="335">
        <v>2017</v>
      </c>
      <c r="X308" s="326"/>
    </row>
    <row r="309" spans="2:24" ht="15.75">
      <c r="B309" s="65" t="s">
        <v>133</v>
      </c>
      <c r="C309" s="65"/>
      <c r="D309" s="65"/>
      <c r="E309" s="65"/>
      <c r="F309" s="65"/>
      <c r="G309" s="65"/>
      <c r="H309" s="66">
        <v>883894.77</v>
      </c>
      <c r="I309" s="66"/>
      <c r="J309" s="66"/>
      <c r="K309" s="120"/>
      <c r="L309" s="120"/>
      <c r="M309" s="120"/>
      <c r="N309" s="120"/>
      <c r="O309" s="72">
        <v>802168.55</v>
      </c>
      <c r="P309" s="72">
        <v>641095.57</v>
      </c>
      <c r="Q309" s="72">
        <v>1303957.64</v>
      </c>
      <c r="R309" s="123"/>
      <c r="S309" s="123"/>
      <c r="T309" s="122">
        <v>1215985.63</v>
      </c>
      <c r="U309" s="122">
        <v>1111139.17</v>
      </c>
      <c r="V309" s="123"/>
      <c r="W309" s="123"/>
      <c r="X309" s="122">
        <v>1034462.77</v>
      </c>
    </row>
    <row r="310" spans="2:24" ht="15.75">
      <c r="B310" s="65" t="s">
        <v>46</v>
      </c>
      <c r="C310" s="65"/>
      <c r="D310" s="65"/>
      <c r="E310" s="65"/>
      <c r="F310" s="65"/>
      <c r="G310" s="65"/>
      <c r="H310" s="66">
        <v>215969.4</v>
      </c>
      <c r="I310" s="66"/>
      <c r="J310" s="66"/>
      <c r="K310" s="120"/>
      <c r="L310" s="120"/>
      <c r="M310" s="120"/>
      <c r="N310" s="120"/>
      <c r="O310" s="72">
        <v>157770.4</v>
      </c>
      <c r="P310" s="72">
        <v>157770.4</v>
      </c>
      <c r="Q310" s="72">
        <v>267981.4</v>
      </c>
      <c r="R310" s="123"/>
      <c r="S310" s="123"/>
      <c r="T310" s="122">
        <v>254244.4</v>
      </c>
      <c r="U310" s="122">
        <v>243714.4</v>
      </c>
      <c r="V310" s="123"/>
      <c r="W310" s="123"/>
      <c r="X310" s="122">
        <v>215969.4</v>
      </c>
    </row>
    <row r="311" spans="2:24" ht="15.75">
      <c r="B311" s="65" t="s">
        <v>134</v>
      </c>
      <c r="C311" s="65"/>
      <c r="D311" s="65"/>
      <c r="E311" s="65"/>
      <c r="F311" s="65"/>
      <c r="G311" s="65"/>
      <c r="H311" s="66">
        <v>1500</v>
      </c>
      <c r="I311" s="66"/>
      <c r="J311" s="66"/>
      <c r="K311" s="120"/>
      <c r="L311" s="120"/>
      <c r="M311" s="120"/>
      <c r="N311" s="120"/>
      <c r="O311" s="72">
        <v>880210.66</v>
      </c>
      <c r="P311" s="72">
        <v>880210.66</v>
      </c>
      <c r="Q311" s="72">
        <v>198281.94</v>
      </c>
      <c r="R311" s="123"/>
      <c r="S311" s="123"/>
      <c r="T311" s="122">
        <v>140625.62</v>
      </c>
      <c r="U311" s="122">
        <v>82075.62</v>
      </c>
      <c r="V311" s="123"/>
      <c r="W311" s="123"/>
      <c r="X311" s="122">
        <v>1500</v>
      </c>
    </row>
    <row r="312" spans="2:24" ht="15.75">
      <c r="B312" s="65" t="s">
        <v>48</v>
      </c>
      <c r="C312" s="65"/>
      <c r="D312" s="65"/>
      <c r="E312" s="65"/>
      <c r="F312" s="65"/>
      <c r="G312" s="65"/>
      <c r="H312" s="66">
        <v>153768.8</v>
      </c>
      <c r="I312" s="66"/>
      <c r="J312" s="66"/>
      <c r="K312" s="120"/>
      <c r="L312" s="120"/>
      <c r="M312" s="120"/>
      <c r="N312" s="120"/>
      <c r="O312" s="72">
        <v>191442.25</v>
      </c>
      <c r="P312" s="72">
        <v>191442.25</v>
      </c>
      <c r="Q312" s="72">
        <v>153768.8</v>
      </c>
      <c r="R312" s="123"/>
      <c r="S312" s="123"/>
      <c r="T312" s="122">
        <v>153768.8</v>
      </c>
      <c r="U312" s="122">
        <v>153768.8</v>
      </c>
      <c r="V312" s="123"/>
      <c r="W312" s="123"/>
      <c r="X312" s="122">
        <v>153768.8</v>
      </c>
    </row>
    <row r="313" spans="2:24" ht="16.5" thickBot="1">
      <c r="B313" s="65" t="s">
        <v>135</v>
      </c>
      <c r="C313" s="65"/>
      <c r="D313" s="65"/>
      <c r="E313" s="65"/>
      <c r="F313" s="65"/>
      <c r="G313" s="65"/>
      <c r="H313" s="68">
        <v>396208.51</v>
      </c>
      <c r="I313" s="67"/>
      <c r="J313" s="67"/>
      <c r="K313" s="120"/>
      <c r="L313" s="120"/>
      <c r="M313" s="120"/>
      <c r="N313" s="120"/>
      <c r="O313" s="73">
        <v>0</v>
      </c>
      <c r="P313" s="73">
        <v>0</v>
      </c>
      <c r="Q313" s="73">
        <v>396208.51</v>
      </c>
      <c r="R313" s="123"/>
      <c r="S313" s="123"/>
      <c r="T313" s="324">
        <v>396208.51</v>
      </c>
      <c r="U313" s="324">
        <v>396208.51</v>
      </c>
      <c r="V313" s="123"/>
      <c r="W313" s="123"/>
      <c r="X313" s="324">
        <v>396208.51</v>
      </c>
    </row>
    <row r="314" spans="2:24" ht="16.5">
      <c r="B314" s="65"/>
      <c r="C314" s="65"/>
      <c r="D314" s="65"/>
      <c r="E314" s="65"/>
      <c r="F314" s="65"/>
      <c r="G314" s="65"/>
      <c r="H314" s="74">
        <f>SUM(H309:H313)</f>
        <v>1651341.48</v>
      </c>
      <c r="I314" s="74"/>
      <c r="J314" s="74"/>
      <c r="K314" s="120"/>
      <c r="L314" s="120"/>
      <c r="M314" s="120"/>
      <c r="N314" s="120"/>
      <c r="O314" s="131">
        <f>SUM(O309:O313)</f>
        <v>2031591.86</v>
      </c>
      <c r="P314" s="131">
        <f>SUM(P309:P313)</f>
        <v>1870518.88</v>
      </c>
      <c r="Q314" s="131">
        <f>SUM(Q309:Q313)</f>
        <v>2320198.29</v>
      </c>
      <c r="R314" s="123"/>
      <c r="S314" s="123"/>
      <c r="T314" s="132">
        <f>SUM(T309:T313)</f>
        <v>2160832.96</v>
      </c>
      <c r="U314" s="132">
        <f>SUM(U309:U313)</f>
        <v>1986906.5</v>
      </c>
      <c r="V314" s="123"/>
      <c r="W314" s="123"/>
      <c r="X314" s="132">
        <f>SUM(X309:X313)</f>
        <v>1801909.48</v>
      </c>
    </row>
    <row r="315" spans="2:24" ht="16.5">
      <c r="B315" s="65" t="s">
        <v>26</v>
      </c>
      <c r="C315" s="65"/>
      <c r="D315" s="65"/>
      <c r="E315" s="65"/>
      <c r="F315" s="65"/>
      <c r="G315" s="65"/>
      <c r="H315" s="78"/>
      <c r="I315" s="78"/>
      <c r="J315" s="78"/>
      <c r="K315" s="120"/>
      <c r="L315" s="120"/>
      <c r="M315" s="120"/>
      <c r="N315" s="120"/>
      <c r="O315" s="136"/>
      <c r="P315" s="120"/>
      <c r="Q315" s="120"/>
      <c r="R315" s="123"/>
      <c r="S315" s="123"/>
      <c r="T315" s="123"/>
      <c r="U315" s="122"/>
      <c r="V315" s="123"/>
      <c r="W315" s="123"/>
      <c r="X315" s="122"/>
    </row>
    <row r="316" spans="2:26" ht="17.25" thickBot="1">
      <c r="B316" s="65" t="s">
        <v>124</v>
      </c>
      <c r="C316" s="65"/>
      <c r="D316" s="65"/>
      <c r="E316" s="65"/>
      <c r="F316" s="65"/>
      <c r="G316" s="65"/>
      <c r="H316" s="68">
        <v>1443171.84</v>
      </c>
      <c r="I316" s="78"/>
      <c r="J316" s="78"/>
      <c r="K316" s="124"/>
      <c r="L316" s="124"/>
      <c r="M316" s="124"/>
      <c r="N316" s="124"/>
      <c r="O316" s="93">
        <f>+'Depreciación Acumulada'!E115</f>
        <v>1748061.5999999999</v>
      </c>
      <c r="P316" s="93">
        <f>+'Depreciación Acumulada'!F115</f>
        <v>1668993.77</v>
      </c>
      <c r="Q316" s="93">
        <f>+'Depreciación Acumulada'!G115</f>
        <v>1976985.67</v>
      </c>
      <c r="R316" s="318"/>
      <c r="S316" s="318"/>
      <c r="T316" s="324">
        <v>1852181.93</v>
      </c>
      <c r="U316" s="324">
        <v>1727378.19</v>
      </c>
      <c r="V316" s="318"/>
      <c r="W316" s="318"/>
      <c r="X316" s="324">
        <v>1593692.25</v>
      </c>
      <c r="Y316" s="325"/>
      <c r="Z316" s="325"/>
    </row>
    <row r="317" spans="2:24" ht="16.5">
      <c r="B317" s="77" t="s">
        <v>125</v>
      </c>
      <c r="C317" s="65"/>
      <c r="D317" s="65"/>
      <c r="E317" s="65"/>
      <c r="F317" s="65"/>
      <c r="G317" s="65"/>
      <c r="H317" s="74">
        <f>+H314-H316</f>
        <v>208169.6399999999</v>
      </c>
      <c r="I317" s="74"/>
      <c r="J317" s="74"/>
      <c r="K317" s="120"/>
      <c r="L317" s="120"/>
      <c r="M317" s="120"/>
      <c r="N317" s="120"/>
      <c r="O317" s="131">
        <f>+O314-O316</f>
        <v>283530.26000000024</v>
      </c>
      <c r="P317" s="131">
        <f>+P314-P316</f>
        <v>201525.10999999987</v>
      </c>
      <c r="Q317" s="131">
        <f>+Q314-Q316</f>
        <v>343212.6200000001</v>
      </c>
      <c r="R317" s="123"/>
      <c r="S317" s="123"/>
      <c r="T317" s="132">
        <f>+T314-T316</f>
        <v>308651.03</v>
      </c>
      <c r="U317" s="132">
        <f>+U314-U316</f>
        <v>259528.31000000006</v>
      </c>
      <c r="V317" s="123"/>
      <c r="W317" s="123"/>
      <c r="X317" s="132">
        <f>+X314-X316</f>
        <v>208217.22999999998</v>
      </c>
    </row>
    <row r="318" spans="2:24" ht="15">
      <c r="B318" s="13"/>
      <c r="C318" s="13"/>
      <c r="D318" s="13"/>
      <c r="E318" s="13"/>
      <c r="F318" s="13"/>
      <c r="G318" s="13"/>
      <c r="H318" s="7"/>
      <c r="I318" s="7"/>
      <c r="J318" s="7"/>
      <c r="X318" s="326"/>
    </row>
    <row r="319" spans="2:10" ht="15">
      <c r="B319" s="13"/>
      <c r="C319" s="13"/>
      <c r="D319" s="13"/>
      <c r="E319" s="13"/>
      <c r="F319" s="13"/>
      <c r="G319" s="13"/>
      <c r="H319" s="7"/>
      <c r="I319" s="7"/>
      <c r="J319" s="7"/>
    </row>
    <row r="320" spans="2:24" ht="15">
      <c r="B320" s="13"/>
      <c r="C320" s="13"/>
      <c r="D320" s="13"/>
      <c r="E320" s="13"/>
      <c r="F320" s="13"/>
      <c r="G320" s="13"/>
      <c r="H320" s="7"/>
      <c r="I320" s="7"/>
      <c r="J320" s="7"/>
      <c r="O320" s="494" t="s">
        <v>665</v>
      </c>
      <c r="P320" s="494"/>
      <c r="Q320" s="249"/>
      <c r="X320" s="326"/>
    </row>
    <row r="321" spans="2:24" ht="18.75">
      <c r="B321" s="117" t="s">
        <v>138</v>
      </c>
      <c r="C321" s="13"/>
      <c r="D321" s="13"/>
      <c r="E321" s="13"/>
      <c r="F321" s="13"/>
      <c r="G321" s="13"/>
      <c r="H321" s="13"/>
      <c r="I321" s="7"/>
      <c r="J321" s="7"/>
      <c r="O321" s="118">
        <v>2021</v>
      </c>
      <c r="P321" s="118">
        <v>2020</v>
      </c>
      <c r="Q321" s="118">
        <v>2019</v>
      </c>
      <c r="T321" s="317">
        <v>2018</v>
      </c>
      <c r="U321" s="335">
        <v>2017</v>
      </c>
      <c r="V321" s="340"/>
      <c r="W321" s="340"/>
      <c r="X321" s="335">
        <v>2016</v>
      </c>
    </row>
    <row r="322" spans="2:24" ht="15.75">
      <c r="B322" s="65" t="s">
        <v>133</v>
      </c>
      <c r="C322" s="65"/>
      <c r="D322" s="65"/>
      <c r="E322" s="65"/>
      <c r="F322" s="65"/>
      <c r="G322" s="65"/>
      <c r="H322" s="66">
        <v>87839.99</v>
      </c>
      <c r="I322" s="66"/>
      <c r="J322" s="66"/>
      <c r="K322" s="120"/>
      <c r="L322" s="120"/>
      <c r="M322" s="120"/>
      <c r="N322" s="120"/>
      <c r="O322" s="72">
        <v>90217.84</v>
      </c>
      <c r="P322" s="72">
        <v>90217.84</v>
      </c>
      <c r="Q322" s="72">
        <v>163123.99</v>
      </c>
      <c r="R322" s="123"/>
      <c r="S322" s="123"/>
      <c r="T322" s="122">
        <v>163123.99</v>
      </c>
      <c r="U322" s="122">
        <v>163123.99</v>
      </c>
      <c r="V322" s="123"/>
      <c r="W322" s="123"/>
      <c r="X322" s="122">
        <v>163123.99</v>
      </c>
    </row>
    <row r="323" spans="2:24" ht="15.75">
      <c r="B323" s="65" t="s">
        <v>46</v>
      </c>
      <c r="C323" s="65"/>
      <c r="D323" s="65"/>
      <c r="E323" s="65"/>
      <c r="F323" s="65"/>
      <c r="G323" s="65"/>
      <c r="H323" s="66">
        <v>111770.97</v>
      </c>
      <c r="I323" s="66"/>
      <c r="J323" s="66"/>
      <c r="K323" s="120"/>
      <c r="L323" s="120"/>
      <c r="M323" s="120"/>
      <c r="N323" s="120"/>
      <c r="O323" s="72">
        <v>46926.98</v>
      </c>
      <c r="P323" s="72">
        <v>46926.98</v>
      </c>
      <c r="Q323" s="72">
        <v>134070.96</v>
      </c>
      <c r="R323" s="123"/>
      <c r="S323" s="123"/>
      <c r="T323" s="122">
        <v>134070.96</v>
      </c>
      <c r="U323" s="122">
        <v>134070.96</v>
      </c>
      <c r="V323" s="123"/>
      <c r="W323" s="123"/>
      <c r="X323" s="122">
        <v>134070.96</v>
      </c>
    </row>
    <row r="324" spans="2:24" ht="15.75" hidden="1">
      <c r="B324" s="65" t="s">
        <v>134</v>
      </c>
      <c r="C324" s="65"/>
      <c r="D324" s="65"/>
      <c r="E324" s="65"/>
      <c r="F324" s="65"/>
      <c r="G324" s="65"/>
      <c r="H324" s="66">
        <v>0</v>
      </c>
      <c r="I324" s="66"/>
      <c r="J324" s="66"/>
      <c r="K324" s="120"/>
      <c r="L324" s="120"/>
      <c r="M324" s="120"/>
      <c r="N324" s="120"/>
      <c r="O324" s="72">
        <v>0</v>
      </c>
      <c r="P324" s="72">
        <v>0</v>
      </c>
      <c r="Q324" s="72">
        <v>29274.99</v>
      </c>
      <c r="R324" s="123"/>
      <c r="S324" s="123"/>
      <c r="T324" s="122">
        <v>29274.99</v>
      </c>
      <c r="U324" s="122"/>
      <c r="V324" s="123"/>
      <c r="W324" s="123"/>
      <c r="X324" s="122"/>
    </row>
    <row r="325" spans="2:24" ht="16.5" thickBot="1">
      <c r="B325" s="65" t="s">
        <v>48</v>
      </c>
      <c r="C325" s="65"/>
      <c r="D325" s="65"/>
      <c r="E325" s="65"/>
      <c r="F325" s="65"/>
      <c r="G325" s="65"/>
      <c r="H325" s="68">
        <v>30503.69</v>
      </c>
      <c r="I325" s="66"/>
      <c r="J325" s="66"/>
      <c r="K325" s="120"/>
      <c r="L325" s="120"/>
      <c r="M325" s="120"/>
      <c r="N325" s="120"/>
      <c r="O325" s="73">
        <v>41866.52</v>
      </c>
      <c r="P325" s="73">
        <v>41866.52</v>
      </c>
      <c r="Q325" s="73">
        <v>30503.69</v>
      </c>
      <c r="R325" s="123"/>
      <c r="S325" s="123"/>
      <c r="T325" s="324">
        <v>30503.69</v>
      </c>
      <c r="U325" s="324">
        <v>30503.69</v>
      </c>
      <c r="V325" s="123"/>
      <c r="W325" s="123"/>
      <c r="X325" s="324">
        <v>30503.69</v>
      </c>
    </row>
    <row r="326" spans="2:24" ht="16.5" hidden="1" thickBot="1">
      <c r="B326" s="65" t="s">
        <v>135</v>
      </c>
      <c r="C326" s="65"/>
      <c r="D326" s="65"/>
      <c r="E326" s="65"/>
      <c r="F326" s="65"/>
      <c r="G326" s="65"/>
      <c r="H326" s="68">
        <v>0</v>
      </c>
      <c r="I326" s="66"/>
      <c r="J326" s="66"/>
      <c r="K326" s="120"/>
      <c r="L326" s="120"/>
      <c r="M326" s="120"/>
      <c r="N326" s="120"/>
      <c r="O326" s="226"/>
      <c r="P326" s="80"/>
      <c r="Q326" s="80"/>
      <c r="R326" s="123"/>
      <c r="S326" s="123"/>
      <c r="T326" s="122"/>
      <c r="U326" s="122"/>
      <c r="V326" s="123"/>
      <c r="W326" s="123"/>
      <c r="X326" s="122"/>
    </row>
    <row r="327" spans="2:24" ht="16.5">
      <c r="B327" s="65"/>
      <c r="C327" s="65"/>
      <c r="D327" s="65"/>
      <c r="E327" s="65"/>
      <c r="F327" s="65"/>
      <c r="G327" s="65"/>
      <c r="H327" s="74">
        <f>SUM(H322:H326)</f>
        <v>230114.65000000002</v>
      </c>
      <c r="I327" s="66"/>
      <c r="J327" s="66"/>
      <c r="K327" s="120"/>
      <c r="L327" s="120"/>
      <c r="M327" s="120"/>
      <c r="N327" s="120"/>
      <c r="O327" s="131">
        <f>SUM(O322:O325)</f>
        <v>179011.34</v>
      </c>
      <c r="P327" s="131">
        <f>SUM(P322:P325)</f>
        <v>179011.34</v>
      </c>
      <c r="Q327" s="131">
        <f>SUM(Q322:Q325)</f>
        <v>356973.62999999995</v>
      </c>
      <c r="R327" s="123"/>
      <c r="S327" s="123"/>
      <c r="T327" s="132">
        <f>SUM(T322:T325)</f>
        <v>356973.62999999995</v>
      </c>
      <c r="U327" s="132">
        <f>SUM(U322:U325)</f>
        <v>327698.63999999996</v>
      </c>
      <c r="V327" s="123"/>
      <c r="W327" s="123"/>
      <c r="X327" s="132">
        <f>SUM(X322:X325)</f>
        <v>327698.63999999996</v>
      </c>
    </row>
    <row r="328" spans="2:24" ht="16.5">
      <c r="B328" s="65" t="s">
        <v>26</v>
      </c>
      <c r="C328" s="65"/>
      <c r="D328" s="65"/>
      <c r="E328" s="65"/>
      <c r="F328" s="65"/>
      <c r="G328" s="65"/>
      <c r="H328" s="78"/>
      <c r="I328" s="66"/>
      <c r="J328" s="66"/>
      <c r="K328" s="120"/>
      <c r="L328" s="120"/>
      <c r="M328" s="120"/>
      <c r="N328" s="120"/>
      <c r="O328" s="136"/>
      <c r="P328" s="120"/>
      <c r="Q328" s="120"/>
      <c r="R328" s="123"/>
      <c r="S328" s="123"/>
      <c r="T328" s="123"/>
      <c r="U328" s="122"/>
      <c r="V328" s="123"/>
      <c r="W328" s="123"/>
      <c r="X328" s="122"/>
    </row>
    <row r="329" spans="2:24" ht="16.5" thickBot="1">
      <c r="B329" s="65" t="s">
        <v>124</v>
      </c>
      <c r="C329" s="65"/>
      <c r="D329" s="65"/>
      <c r="E329" s="65"/>
      <c r="F329" s="65"/>
      <c r="G329" s="65"/>
      <c r="H329" s="68">
        <v>212351.74</v>
      </c>
      <c r="I329" s="66"/>
      <c r="J329" s="66"/>
      <c r="K329" s="120"/>
      <c r="L329" s="120"/>
      <c r="M329" s="120"/>
      <c r="N329" s="120"/>
      <c r="O329" s="93">
        <f>+'Depreciación Acumulada'!E137</f>
        <v>168502.02</v>
      </c>
      <c r="P329" s="93">
        <f>+'Depreciación Acumulada'!F137</f>
        <v>168502.02</v>
      </c>
      <c r="Q329" s="93">
        <f>+'Depreciación Acumulada'!G137</f>
        <v>322124.69999999995</v>
      </c>
      <c r="R329" s="123"/>
      <c r="S329" s="123"/>
      <c r="T329" s="324">
        <v>293459.43</v>
      </c>
      <c r="U329" s="324">
        <v>264794.16</v>
      </c>
      <c r="V329" s="123"/>
      <c r="W329" s="123"/>
      <c r="X329" s="324">
        <v>240398.16</v>
      </c>
    </row>
    <row r="330" spans="2:24" ht="18.75">
      <c r="B330" s="117" t="s">
        <v>125</v>
      </c>
      <c r="C330" s="65"/>
      <c r="D330" s="65"/>
      <c r="E330" s="65"/>
      <c r="F330" s="65"/>
      <c r="G330" s="65"/>
      <c r="H330" s="74">
        <f>+H327-H329</f>
        <v>17762.910000000033</v>
      </c>
      <c r="I330" s="66"/>
      <c r="J330" s="66"/>
      <c r="K330" s="120"/>
      <c r="L330" s="120"/>
      <c r="M330" s="120"/>
      <c r="N330" s="120"/>
      <c r="O330" s="131">
        <f>+O327-O329</f>
        <v>10509.320000000007</v>
      </c>
      <c r="P330" s="131">
        <f>+P327-P329</f>
        <v>10509.320000000007</v>
      </c>
      <c r="Q330" s="131">
        <f>+Q327-Q329</f>
        <v>34848.92999999999</v>
      </c>
      <c r="R330" s="123"/>
      <c r="S330" s="123"/>
      <c r="T330" s="132">
        <f>+T327-T329</f>
        <v>63514.19999999995</v>
      </c>
      <c r="U330" s="132">
        <f>+U327-U329</f>
        <v>62904.47999999998</v>
      </c>
      <c r="V330" s="123"/>
      <c r="W330" s="123"/>
      <c r="X330" s="132">
        <f>+X327-X329</f>
        <v>87300.47999999995</v>
      </c>
    </row>
    <row r="331" spans="2:24" ht="15.75">
      <c r="B331" s="65"/>
      <c r="C331" s="65"/>
      <c r="D331" s="65"/>
      <c r="E331" s="65"/>
      <c r="F331" s="65"/>
      <c r="G331" s="65"/>
      <c r="H331" s="66"/>
      <c r="I331" s="66"/>
      <c r="J331" s="66"/>
      <c r="K331" s="120"/>
      <c r="L331" s="120"/>
      <c r="M331" s="120"/>
      <c r="N331" s="120"/>
      <c r="O331" s="136"/>
      <c r="P331" s="120"/>
      <c r="Q331" s="120"/>
      <c r="R331" s="123"/>
      <c r="S331" s="123"/>
      <c r="T331" s="123"/>
      <c r="U331" s="122"/>
      <c r="V331" s="123"/>
      <c r="W331" s="123"/>
      <c r="X331" s="122"/>
    </row>
    <row r="332" spans="2:24" ht="15.75">
      <c r="B332" s="65"/>
      <c r="C332" s="65"/>
      <c r="D332" s="65"/>
      <c r="E332" s="65"/>
      <c r="F332" s="65"/>
      <c r="G332" s="65"/>
      <c r="H332" s="66"/>
      <c r="I332" s="66"/>
      <c r="J332" s="66"/>
      <c r="K332" s="120"/>
      <c r="L332" s="120"/>
      <c r="M332" s="120"/>
      <c r="N332" s="120"/>
      <c r="O332" s="494" t="s">
        <v>665</v>
      </c>
      <c r="P332" s="494"/>
      <c r="Q332" s="249"/>
      <c r="R332" s="123"/>
      <c r="S332" s="123"/>
      <c r="T332" s="123"/>
      <c r="U332" s="122"/>
      <c r="V332" s="123"/>
      <c r="W332" s="123"/>
      <c r="X332" s="122"/>
    </row>
    <row r="333" spans="2:24" ht="18.75">
      <c r="B333" s="117" t="s">
        <v>632</v>
      </c>
      <c r="C333" s="65"/>
      <c r="D333" s="65"/>
      <c r="E333" s="65"/>
      <c r="F333" s="65"/>
      <c r="G333" s="65"/>
      <c r="H333" s="65"/>
      <c r="I333" s="66"/>
      <c r="J333" s="66"/>
      <c r="K333" s="120"/>
      <c r="L333" s="120"/>
      <c r="M333" s="120"/>
      <c r="N333" s="120"/>
      <c r="O333" s="118">
        <v>2021</v>
      </c>
      <c r="P333" s="118">
        <v>2020</v>
      </c>
      <c r="Q333" s="118">
        <v>2019</v>
      </c>
      <c r="R333" s="123"/>
      <c r="S333" s="123"/>
      <c r="T333" s="123"/>
      <c r="U333" s="122"/>
      <c r="V333" s="123"/>
      <c r="W333" s="123"/>
      <c r="X333" s="122"/>
    </row>
    <row r="334" spans="2:24" ht="16.5" thickBot="1">
      <c r="B334" s="65" t="s">
        <v>135</v>
      </c>
      <c r="C334" s="65"/>
      <c r="D334" s="65"/>
      <c r="E334" s="65"/>
      <c r="F334" s="65"/>
      <c r="G334" s="65"/>
      <c r="H334" s="68">
        <v>0</v>
      </c>
      <c r="I334" s="66"/>
      <c r="J334" s="66"/>
      <c r="K334" s="120"/>
      <c r="L334" s="120"/>
      <c r="M334" s="120"/>
      <c r="N334" s="120"/>
      <c r="O334" s="72">
        <v>135791.45</v>
      </c>
      <c r="P334" s="72">
        <v>1436.46</v>
      </c>
      <c r="Q334" s="72">
        <v>7000</v>
      </c>
      <c r="R334" s="123"/>
      <c r="S334" s="123"/>
      <c r="T334" s="348">
        <v>0</v>
      </c>
      <c r="U334" s="122"/>
      <c r="V334" s="123"/>
      <c r="W334" s="123"/>
      <c r="X334" s="122"/>
    </row>
    <row r="335" spans="2:24" ht="16.5">
      <c r="B335" s="65"/>
      <c r="C335" s="65"/>
      <c r="D335" s="65"/>
      <c r="E335" s="65"/>
      <c r="F335" s="65"/>
      <c r="G335" s="65"/>
      <c r="H335" s="74">
        <f>SUM(H334:H334)</f>
        <v>0</v>
      </c>
      <c r="I335" s="66"/>
      <c r="J335" s="66"/>
      <c r="K335" s="120"/>
      <c r="L335" s="120"/>
      <c r="M335" s="120"/>
      <c r="N335" s="120"/>
      <c r="O335" s="136"/>
      <c r="P335" s="120"/>
      <c r="Q335" s="120"/>
      <c r="R335" s="123"/>
      <c r="S335" s="123"/>
      <c r="T335" s="348"/>
      <c r="U335" s="122"/>
      <c r="V335" s="123"/>
      <c r="W335" s="123"/>
      <c r="X335" s="122"/>
    </row>
    <row r="336" spans="2:24" ht="16.5">
      <c r="B336" s="65" t="s">
        <v>26</v>
      </c>
      <c r="C336" s="65"/>
      <c r="D336" s="65"/>
      <c r="E336" s="65"/>
      <c r="F336" s="65"/>
      <c r="G336" s="65"/>
      <c r="H336" s="78"/>
      <c r="I336" s="66"/>
      <c r="J336" s="66"/>
      <c r="K336" s="120"/>
      <c r="L336" s="120"/>
      <c r="M336" s="120"/>
      <c r="N336" s="120"/>
      <c r="O336" s="136"/>
      <c r="P336" s="120"/>
      <c r="Q336" s="120"/>
      <c r="R336" s="123"/>
      <c r="S336" s="123"/>
      <c r="T336" s="348"/>
      <c r="U336" s="122"/>
      <c r="V336" s="123"/>
      <c r="W336" s="123"/>
      <c r="X336" s="122"/>
    </row>
    <row r="337" spans="2:24" ht="16.5" thickBot="1">
      <c r="B337" s="65" t="s">
        <v>124</v>
      </c>
      <c r="C337" s="65"/>
      <c r="D337" s="65"/>
      <c r="E337" s="65"/>
      <c r="F337" s="65"/>
      <c r="G337" s="65"/>
      <c r="H337" s="68"/>
      <c r="I337" s="66"/>
      <c r="J337" s="66"/>
      <c r="K337" s="120"/>
      <c r="L337" s="120"/>
      <c r="M337" s="120"/>
      <c r="N337" s="120"/>
      <c r="O337" s="146">
        <f>+'Depreciación Acumulada'!E142</f>
        <v>52805.36</v>
      </c>
      <c r="P337" s="146">
        <f>+'Depreciación Acumulada'!F142</f>
        <v>1436.4599999999991</v>
      </c>
      <c r="Q337" s="146">
        <f>+'Depreciación Acumulada'!G143</f>
        <v>437.5</v>
      </c>
      <c r="R337" s="123"/>
      <c r="S337" s="123"/>
      <c r="T337" s="349"/>
      <c r="U337" s="122"/>
      <c r="V337" s="123"/>
      <c r="W337" s="123"/>
      <c r="X337" s="122"/>
    </row>
    <row r="338" spans="2:24" ht="16.5">
      <c r="B338" s="77" t="s">
        <v>125</v>
      </c>
      <c r="C338" s="65"/>
      <c r="D338" s="65"/>
      <c r="E338" s="65"/>
      <c r="F338" s="65"/>
      <c r="G338" s="65"/>
      <c r="H338" s="74">
        <f>+H335-H337</f>
        <v>0</v>
      </c>
      <c r="I338" s="66"/>
      <c r="J338" s="66"/>
      <c r="K338" s="120"/>
      <c r="L338" s="120"/>
      <c r="M338" s="120"/>
      <c r="N338" s="120"/>
      <c r="O338" s="150">
        <f>+O334-O337</f>
        <v>82986.09000000001</v>
      </c>
      <c r="P338" s="150">
        <f>+P334-P337</f>
        <v>0</v>
      </c>
      <c r="Q338" s="150">
        <f>+Q334-Q337</f>
        <v>6562.5</v>
      </c>
      <c r="R338" s="123"/>
      <c r="S338" s="123"/>
      <c r="T338" s="350">
        <f>+T334-T337</f>
        <v>0</v>
      </c>
      <c r="U338" s="122"/>
      <c r="V338" s="123"/>
      <c r="W338" s="123"/>
      <c r="X338" s="122"/>
    </row>
    <row r="339" spans="2:24" ht="16.5">
      <c r="B339" s="77"/>
      <c r="C339" s="65"/>
      <c r="D339" s="65"/>
      <c r="E339" s="65"/>
      <c r="F339" s="65"/>
      <c r="G339" s="65"/>
      <c r="H339" s="74"/>
      <c r="I339" s="66"/>
      <c r="J339" s="66"/>
      <c r="K339" s="120"/>
      <c r="L339" s="120"/>
      <c r="M339" s="120"/>
      <c r="N339" s="120"/>
      <c r="O339" s="136"/>
      <c r="P339" s="120"/>
      <c r="Q339" s="150"/>
      <c r="R339" s="123"/>
      <c r="S339" s="123"/>
      <c r="T339" s="350"/>
      <c r="U339" s="122"/>
      <c r="V339" s="123"/>
      <c r="W339" s="123"/>
      <c r="X339" s="122"/>
    </row>
    <row r="340" spans="2:24" ht="16.5">
      <c r="B340" s="77"/>
      <c r="C340" s="65"/>
      <c r="D340" s="65"/>
      <c r="E340" s="65"/>
      <c r="F340" s="65"/>
      <c r="G340" s="65"/>
      <c r="H340" s="74"/>
      <c r="I340" s="66"/>
      <c r="J340" s="66"/>
      <c r="K340" s="120"/>
      <c r="L340" s="120"/>
      <c r="M340" s="120"/>
      <c r="N340" s="120"/>
      <c r="O340" s="494" t="s">
        <v>665</v>
      </c>
      <c r="P340" s="494"/>
      <c r="Q340" s="249"/>
      <c r="R340" s="123"/>
      <c r="S340" s="123"/>
      <c r="T340" s="350"/>
      <c r="U340" s="122"/>
      <c r="V340" s="123"/>
      <c r="W340" s="123"/>
      <c r="X340" s="122"/>
    </row>
    <row r="341" spans="2:24" ht="18.75">
      <c r="B341" s="77"/>
      <c r="C341" s="65"/>
      <c r="D341" s="65"/>
      <c r="E341" s="65"/>
      <c r="F341" s="65"/>
      <c r="G341" s="65"/>
      <c r="H341" s="74"/>
      <c r="I341" s="66"/>
      <c r="J341" s="66"/>
      <c r="K341" s="120"/>
      <c r="L341" s="120"/>
      <c r="M341" s="120"/>
      <c r="N341" s="120"/>
      <c r="O341" s="118">
        <v>2021</v>
      </c>
      <c r="P341" s="118">
        <v>2020</v>
      </c>
      <c r="Q341" s="118">
        <v>2019</v>
      </c>
      <c r="R341" s="123"/>
      <c r="S341" s="123"/>
      <c r="T341" s="350"/>
      <c r="U341" s="122"/>
      <c r="V341" s="123"/>
      <c r="W341" s="123"/>
      <c r="X341" s="122"/>
    </row>
    <row r="342" spans="2:24" ht="18.75">
      <c r="B342" s="117" t="s">
        <v>675</v>
      </c>
      <c r="C342" s="65"/>
      <c r="D342" s="65"/>
      <c r="E342" s="65"/>
      <c r="F342" s="65"/>
      <c r="G342" s="65"/>
      <c r="H342" s="74"/>
      <c r="I342" s="66"/>
      <c r="J342" s="66"/>
      <c r="K342" s="120"/>
      <c r="L342" s="120"/>
      <c r="M342" s="120"/>
      <c r="N342" s="120"/>
      <c r="Q342" s="150"/>
      <c r="R342" s="123"/>
      <c r="S342" s="123"/>
      <c r="T342" s="350"/>
      <c r="U342" s="122"/>
      <c r="V342" s="123"/>
      <c r="W342" s="123"/>
      <c r="X342" s="122"/>
    </row>
    <row r="343" spans="2:24" ht="16.5">
      <c r="B343" s="65" t="s">
        <v>133</v>
      </c>
      <c r="C343" s="65"/>
      <c r="D343" s="65"/>
      <c r="E343" s="65"/>
      <c r="F343" s="65"/>
      <c r="G343" s="65"/>
      <c r="H343" s="74"/>
      <c r="I343" s="66"/>
      <c r="J343" s="66"/>
      <c r="K343" s="120"/>
      <c r="L343" s="120"/>
      <c r="M343" s="120"/>
      <c r="N343" s="120"/>
      <c r="O343" s="72">
        <v>74284.84</v>
      </c>
      <c r="P343" s="72">
        <v>74284.84</v>
      </c>
      <c r="Q343" s="150"/>
      <c r="R343" s="123"/>
      <c r="S343" s="123"/>
      <c r="T343" s="350"/>
      <c r="U343" s="122"/>
      <c r="V343" s="123"/>
      <c r="W343" s="123"/>
      <c r="X343" s="122"/>
    </row>
    <row r="344" spans="2:24" ht="16.5">
      <c r="B344" s="77"/>
      <c r="C344" s="65"/>
      <c r="D344" s="65"/>
      <c r="E344" s="65"/>
      <c r="F344" s="65"/>
      <c r="G344" s="65"/>
      <c r="H344" s="74"/>
      <c r="I344" s="66"/>
      <c r="J344" s="66"/>
      <c r="K344" s="120"/>
      <c r="L344" s="120"/>
      <c r="M344" s="120"/>
      <c r="N344" s="120"/>
      <c r="O344" s="136"/>
      <c r="P344" s="120"/>
      <c r="Q344" s="150"/>
      <c r="R344" s="123"/>
      <c r="S344" s="123"/>
      <c r="T344" s="350"/>
      <c r="U344" s="122"/>
      <c r="V344" s="123"/>
      <c r="W344" s="123"/>
      <c r="X344" s="122"/>
    </row>
    <row r="345" spans="2:24" ht="15.75">
      <c r="B345" s="65" t="s">
        <v>26</v>
      </c>
      <c r="C345" s="65"/>
      <c r="D345" s="65"/>
      <c r="E345" s="65"/>
      <c r="F345" s="65"/>
      <c r="G345" s="65"/>
      <c r="H345" s="66"/>
      <c r="I345" s="66"/>
      <c r="J345" s="66"/>
      <c r="K345" s="120"/>
      <c r="L345" s="120"/>
      <c r="M345" s="120"/>
      <c r="N345" s="120"/>
      <c r="O345" s="136"/>
      <c r="P345" s="120"/>
      <c r="Q345" s="120"/>
      <c r="R345" s="123"/>
      <c r="S345" s="123"/>
      <c r="T345" s="123"/>
      <c r="U345" s="122"/>
      <c r="V345" s="123"/>
      <c r="W345" s="123"/>
      <c r="X345" s="122"/>
    </row>
    <row r="346" spans="2:24" ht="16.5" thickBot="1">
      <c r="B346" s="65" t="s">
        <v>124</v>
      </c>
      <c r="C346" s="65"/>
      <c r="D346" s="65"/>
      <c r="E346" s="65"/>
      <c r="F346" s="65"/>
      <c r="G346" s="65"/>
      <c r="H346" s="66"/>
      <c r="I346" s="66"/>
      <c r="J346" s="66"/>
      <c r="K346" s="120"/>
      <c r="L346" s="120"/>
      <c r="M346" s="120"/>
      <c r="N346" s="120"/>
      <c r="O346" s="146">
        <f>+'Depreciación Acumulada'!E146</f>
        <v>71250.57</v>
      </c>
      <c r="P346" s="146">
        <f>+'Depreciación Acumulada'!F146</f>
        <v>46466.25</v>
      </c>
      <c r="Q346" s="146"/>
      <c r="R346" s="123"/>
      <c r="S346" s="123"/>
      <c r="T346" s="123"/>
      <c r="U346" s="122"/>
      <c r="V346" s="123"/>
      <c r="W346" s="123"/>
      <c r="X346" s="122"/>
    </row>
    <row r="347" spans="2:24" ht="18.75">
      <c r="B347" s="117" t="s">
        <v>125</v>
      </c>
      <c r="C347" s="65"/>
      <c r="D347" s="65"/>
      <c r="E347" s="65"/>
      <c r="F347" s="65"/>
      <c r="G347" s="65"/>
      <c r="H347" s="66"/>
      <c r="I347" s="66"/>
      <c r="J347" s="66"/>
      <c r="K347" s="120"/>
      <c r="L347" s="120"/>
      <c r="M347" s="120"/>
      <c r="N347" s="120"/>
      <c r="O347" s="210">
        <f>+O343-O346</f>
        <v>3034.2699999999895</v>
      </c>
      <c r="P347" s="210">
        <f>+P343-P346</f>
        <v>27818.589999999997</v>
      </c>
      <c r="Q347" s="210">
        <v>0</v>
      </c>
      <c r="R347" s="123"/>
      <c r="S347" s="123"/>
      <c r="T347" s="123"/>
      <c r="U347" s="122"/>
      <c r="V347" s="123"/>
      <c r="W347" s="123"/>
      <c r="X347" s="122"/>
    </row>
    <row r="348" spans="2:24" ht="16.5" thickBot="1">
      <c r="B348" s="65"/>
      <c r="C348" s="65"/>
      <c r="D348" s="65"/>
      <c r="E348" s="65"/>
      <c r="F348" s="65"/>
      <c r="G348" s="65"/>
      <c r="H348" s="68"/>
      <c r="I348" s="66"/>
      <c r="J348" s="66"/>
      <c r="K348" s="120"/>
      <c r="L348" s="120"/>
      <c r="M348" s="120"/>
      <c r="N348" s="120"/>
      <c r="O348" s="146"/>
      <c r="P348" s="146"/>
      <c r="Q348" s="151"/>
      <c r="R348" s="123"/>
      <c r="S348" s="123"/>
      <c r="T348" s="351"/>
      <c r="U348" s="324"/>
      <c r="V348" s="123"/>
      <c r="W348" s="123"/>
      <c r="X348" s="324"/>
    </row>
    <row r="349" spans="2:24" ht="21" thickBot="1">
      <c r="B349" s="208" t="s">
        <v>139</v>
      </c>
      <c r="C349" s="65"/>
      <c r="D349" s="65"/>
      <c r="E349" s="65"/>
      <c r="F349" s="65"/>
      <c r="G349" s="65"/>
      <c r="H349" s="138">
        <f>+H291+H305+H317+H330+H338</f>
        <v>4226688.589999998</v>
      </c>
      <c r="I349" s="66"/>
      <c r="J349" s="66"/>
      <c r="K349" s="120"/>
      <c r="L349" s="120"/>
      <c r="M349" s="120"/>
      <c r="N349" s="120"/>
      <c r="O349" s="239">
        <f>+O291+O305+O317+O330+O338+O347</f>
        <v>4040401.7999999993</v>
      </c>
      <c r="P349" s="239">
        <f>+P291+P305+P317+P330+P338+P347</f>
        <v>3205466.550000001</v>
      </c>
      <c r="Q349" s="239">
        <f>+Q291+Q305+Q317+Q330+Q338+Q347</f>
        <v>7283658.710000003</v>
      </c>
      <c r="R349" s="123"/>
      <c r="S349" s="123"/>
      <c r="T349" s="332">
        <f>+T291+T305+T317+T330+T338</f>
        <v>5063733.459999999</v>
      </c>
      <c r="U349" s="332">
        <f>+U291+U305+U317+U330</f>
        <v>5957140.6499999985</v>
      </c>
      <c r="V349" s="123"/>
      <c r="W349" s="123"/>
      <c r="X349" s="332">
        <f>+X291+X305+X317+X330</f>
        <v>4516916.509999999</v>
      </c>
    </row>
    <row r="350" spans="1:24" ht="27" thickTop="1">
      <c r="A350" s="152"/>
      <c r="B350" s="13"/>
      <c r="C350" s="115"/>
      <c r="D350" s="115"/>
      <c r="E350" s="115"/>
      <c r="F350" s="115"/>
      <c r="G350" s="115"/>
      <c r="H350" s="115"/>
      <c r="I350" s="115"/>
      <c r="J350" s="115"/>
      <c r="K350" s="116"/>
      <c r="U350" s="326"/>
      <c r="X350" s="326"/>
    </row>
    <row r="351" spans="1:24" ht="26.25">
      <c r="A351" s="152"/>
      <c r="B351" s="13"/>
      <c r="C351" s="115"/>
      <c r="D351" s="115"/>
      <c r="E351" s="115"/>
      <c r="F351" s="115"/>
      <c r="G351" s="115"/>
      <c r="H351" s="115"/>
      <c r="I351" s="115"/>
      <c r="J351" s="115"/>
      <c r="K351" s="116"/>
      <c r="U351" s="326"/>
      <c r="X351" s="326"/>
    </row>
    <row r="352" spans="1:24" ht="26.25">
      <c r="A352" s="152"/>
      <c r="B352" s="13"/>
      <c r="C352" s="115"/>
      <c r="D352" s="115"/>
      <c r="E352" s="115"/>
      <c r="F352" s="115"/>
      <c r="G352" s="115"/>
      <c r="H352" s="115"/>
      <c r="I352" s="115"/>
      <c r="J352" s="115"/>
      <c r="K352" s="116"/>
      <c r="U352" s="326"/>
      <c r="X352" s="326"/>
    </row>
    <row r="353" spans="1:24" ht="20.25">
      <c r="A353" s="153"/>
      <c r="B353" s="208" t="s">
        <v>140</v>
      </c>
      <c r="C353" s="154"/>
      <c r="D353" s="154"/>
      <c r="E353" s="154"/>
      <c r="F353" s="154"/>
      <c r="G353" s="154"/>
      <c r="H353" s="154"/>
      <c r="I353" s="154"/>
      <c r="J353" s="154"/>
      <c r="K353" s="155"/>
      <c r="O353" s="494" t="s">
        <v>665</v>
      </c>
      <c r="P353" s="494"/>
      <c r="Q353" s="249"/>
      <c r="T353" s="317">
        <v>2018</v>
      </c>
      <c r="U353" s="335">
        <v>2017</v>
      </c>
      <c r="V353" s="340"/>
      <c r="W353" s="340"/>
      <c r="X353" s="335">
        <v>2016</v>
      </c>
    </row>
    <row r="354" spans="1:24" ht="18.75">
      <c r="A354" s="153"/>
      <c r="B354" s="65" t="s">
        <v>120</v>
      </c>
      <c r="C354" s="154"/>
      <c r="D354" s="154"/>
      <c r="E354" s="154"/>
      <c r="F354" s="154"/>
      <c r="G354" s="154"/>
      <c r="H354" s="154"/>
      <c r="I354" s="154"/>
      <c r="J354" s="154"/>
      <c r="K354" s="155"/>
      <c r="O354" s="118">
        <v>2021</v>
      </c>
      <c r="P354" s="118">
        <v>2020</v>
      </c>
      <c r="Q354" s="118">
        <v>2019</v>
      </c>
      <c r="X354" s="326"/>
    </row>
    <row r="355" spans="1:24" ht="16.5">
      <c r="A355" s="153"/>
      <c r="B355" s="65" t="s">
        <v>723</v>
      </c>
      <c r="C355" s="154"/>
      <c r="D355" s="154"/>
      <c r="E355" s="154"/>
      <c r="F355" s="154"/>
      <c r="G355" s="154"/>
      <c r="H355" s="154"/>
      <c r="I355" s="154"/>
      <c r="J355" s="154"/>
      <c r="K355" s="155"/>
      <c r="X355" s="326"/>
    </row>
    <row r="356" spans="1:24" ht="15.75">
      <c r="A356" s="153"/>
      <c r="B356" s="156"/>
      <c r="C356" s="154"/>
      <c r="D356" s="154"/>
      <c r="E356" s="154"/>
      <c r="F356" s="154"/>
      <c r="G356" s="154"/>
      <c r="H356" s="154"/>
      <c r="I356" s="154"/>
      <c r="J356" s="154"/>
      <c r="K356" s="155"/>
      <c r="X356" s="326"/>
    </row>
    <row r="357" spans="2:24" ht="18.75">
      <c r="B357" s="117" t="s">
        <v>141</v>
      </c>
      <c r="C357" s="13"/>
      <c r="D357" s="13"/>
      <c r="E357" s="13"/>
      <c r="F357" s="13"/>
      <c r="G357" s="13"/>
      <c r="H357" s="7"/>
      <c r="I357" s="7"/>
      <c r="J357" s="7"/>
      <c r="X357" s="326"/>
    </row>
    <row r="358" spans="2:24" ht="15.75">
      <c r="B358" s="65" t="s">
        <v>7</v>
      </c>
      <c r="C358" s="65"/>
      <c r="D358" s="65"/>
      <c r="E358" s="65"/>
      <c r="F358" s="65"/>
      <c r="G358" s="65"/>
      <c r="H358" s="66">
        <v>70000</v>
      </c>
      <c r="I358" s="66"/>
      <c r="J358" s="66"/>
      <c r="K358" s="120"/>
      <c r="L358" s="120"/>
      <c r="M358" s="120"/>
      <c r="N358" s="120"/>
      <c r="O358" s="72">
        <v>70000</v>
      </c>
      <c r="P358" s="72">
        <v>70000</v>
      </c>
      <c r="Q358" s="72">
        <v>70000</v>
      </c>
      <c r="R358" s="123"/>
      <c r="S358" s="123"/>
      <c r="T358" s="122">
        <v>70000</v>
      </c>
      <c r="U358" s="122">
        <v>70000</v>
      </c>
      <c r="V358" s="123"/>
      <c r="W358" s="123"/>
      <c r="X358" s="122">
        <v>70000</v>
      </c>
    </row>
    <row r="359" spans="2:24" ht="16.5" thickBot="1">
      <c r="B359" s="65" t="s">
        <v>142</v>
      </c>
      <c r="C359" s="65"/>
      <c r="D359" s="65"/>
      <c r="E359" s="65"/>
      <c r="F359" s="65"/>
      <c r="G359" s="65"/>
      <c r="H359" s="68">
        <v>9153</v>
      </c>
      <c r="I359" s="67"/>
      <c r="J359" s="67"/>
      <c r="K359" s="120"/>
      <c r="L359" s="120"/>
      <c r="M359" s="120"/>
      <c r="N359" s="120"/>
      <c r="O359" s="73">
        <f>9153+127392.8</f>
        <v>136545.8</v>
      </c>
      <c r="P359" s="73">
        <f>9153+127392.8</f>
        <v>136545.8</v>
      </c>
      <c r="Q359" s="73">
        <f>9153+127392.8</f>
        <v>136545.8</v>
      </c>
      <c r="R359" s="123"/>
      <c r="S359" s="123"/>
      <c r="T359" s="324">
        <f>9153+127392.8</f>
        <v>136545.8</v>
      </c>
      <c r="U359" s="324">
        <v>9153</v>
      </c>
      <c r="V359" s="123"/>
      <c r="W359" s="123"/>
      <c r="X359" s="324">
        <v>9153</v>
      </c>
    </row>
    <row r="360" spans="2:24" ht="16.5">
      <c r="B360" s="65"/>
      <c r="C360" s="65"/>
      <c r="D360" s="65"/>
      <c r="E360" s="65"/>
      <c r="F360" s="65"/>
      <c r="G360" s="65"/>
      <c r="H360" s="74">
        <f>SUM(H358:H359)</f>
        <v>79153</v>
      </c>
      <c r="I360" s="74"/>
      <c r="J360" s="74"/>
      <c r="K360" s="120"/>
      <c r="L360" s="120"/>
      <c r="M360" s="120"/>
      <c r="N360" s="120"/>
      <c r="O360" s="131">
        <f>SUM(O358:O359)</f>
        <v>206545.8</v>
      </c>
      <c r="P360" s="131">
        <f>SUM(P358:P359)</f>
        <v>206545.8</v>
      </c>
      <c r="Q360" s="131">
        <f>SUM(Q358:Q359)</f>
        <v>206545.8</v>
      </c>
      <c r="R360" s="123"/>
      <c r="S360" s="123"/>
      <c r="T360" s="132">
        <f>SUM(T358:T359)</f>
        <v>206545.8</v>
      </c>
      <c r="U360" s="132">
        <f>SUM(U358:U359)</f>
        <v>79153</v>
      </c>
      <c r="V360" s="123"/>
      <c r="W360" s="123"/>
      <c r="X360" s="132">
        <f>SUM(X358:X359)</f>
        <v>79153</v>
      </c>
    </row>
    <row r="361" spans="1:24" ht="16.5">
      <c r="A361" s="153"/>
      <c r="B361" s="65" t="s">
        <v>26</v>
      </c>
      <c r="C361" s="65"/>
      <c r="D361" s="65"/>
      <c r="E361" s="65"/>
      <c r="F361" s="65"/>
      <c r="G361" s="65"/>
      <c r="H361" s="74"/>
      <c r="I361" s="74"/>
      <c r="J361" s="74"/>
      <c r="K361" s="157"/>
      <c r="L361" s="120"/>
      <c r="M361" s="120"/>
      <c r="N361" s="120"/>
      <c r="O361" s="136"/>
      <c r="P361" s="120"/>
      <c r="Q361" s="120"/>
      <c r="R361" s="123"/>
      <c r="S361" s="123"/>
      <c r="T361" s="123"/>
      <c r="U361" s="122"/>
      <c r="V361" s="123"/>
      <c r="W361" s="123"/>
      <c r="X361" s="122"/>
    </row>
    <row r="362" spans="2:24" ht="17.25" thickBot="1">
      <c r="B362" s="65" t="s">
        <v>124</v>
      </c>
      <c r="C362" s="65"/>
      <c r="D362" s="65"/>
      <c r="E362" s="65"/>
      <c r="F362" s="65"/>
      <c r="G362" s="65"/>
      <c r="H362" s="68">
        <v>79153</v>
      </c>
      <c r="I362" s="78"/>
      <c r="J362" s="78"/>
      <c r="K362" s="120"/>
      <c r="L362" s="120"/>
      <c r="M362" s="120"/>
      <c r="N362" s="120"/>
      <c r="O362" s="93">
        <f>+'Depreciación Acumulada'!E156</f>
        <v>132233.34</v>
      </c>
      <c r="P362" s="93">
        <f>+'Depreciación Acumulada'!F156</f>
        <v>132233.34</v>
      </c>
      <c r="Q362" s="93">
        <f>+'Depreciación Acumulada'!G156</f>
        <v>121617.26000000001</v>
      </c>
      <c r="R362" s="123"/>
      <c r="S362" s="123"/>
      <c r="T362" s="324">
        <v>100385.13</v>
      </c>
      <c r="U362" s="324">
        <v>79153</v>
      </c>
      <c r="V362" s="123"/>
      <c r="W362" s="123"/>
      <c r="X362" s="324">
        <v>79153</v>
      </c>
    </row>
    <row r="363" spans="2:24" ht="18.75">
      <c r="B363" s="117" t="s">
        <v>125</v>
      </c>
      <c r="C363" s="65"/>
      <c r="D363" s="65"/>
      <c r="E363" s="65"/>
      <c r="F363" s="65"/>
      <c r="G363" s="65"/>
      <c r="H363" s="74">
        <f>+H360-H362</f>
        <v>0</v>
      </c>
      <c r="I363" s="74"/>
      <c r="J363" s="74"/>
      <c r="K363" s="120"/>
      <c r="L363" s="120"/>
      <c r="M363" s="120"/>
      <c r="N363" s="120"/>
      <c r="O363" s="150">
        <f>+O360-O362</f>
        <v>74312.45999999999</v>
      </c>
      <c r="P363" s="150">
        <f>+P360-P362</f>
        <v>74312.45999999999</v>
      </c>
      <c r="Q363" s="150">
        <f>+Q360-Q362</f>
        <v>84928.53999999998</v>
      </c>
      <c r="R363" s="123"/>
      <c r="S363" s="123"/>
      <c r="T363" s="318">
        <f>+T360-T362</f>
        <v>106160.66999999998</v>
      </c>
      <c r="U363" s="345">
        <f>+U360-U362</f>
        <v>0</v>
      </c>
      <c r="V363" s="123"/>
      <c r="W363" s="123"/>
      <c r="X363" s="345">
        <f>+X360-X362</f>
        <v>0</v>
      </c>
    </row>
    <row r="364" spans="2:24" ht="15.75">
      <c r="B364" s="65"/>
      <c r="C364" s="65"/>
      <c r="D364" s="65"/>
      <c r="E364" s="65"/>
      <c r="F364" s="65"/>
      <c r="G364" s="65"/>
      <c r="H364" s="66"/>
      <c r="I364" s="66"/>
      <c r="J364" s="66"/>
      <c r="K364" s="120"/>
      <c r="L364" s="120"/>
      <c r="M364" s="120"/>
      <c r="N364" s="120"/>
      <c r="O364" s="136"/>
      <c r="P364" s="120"/>
      <c r="Q364" s="120"/>
      <c r="R364" s="123"/>
      <c r="S364" s="123"/>
      <c r="T364" s="123"/>
      <c r="U364" s="122"/>
      <c r="V364" s="123"/>
      <c r="W364" s="123"/>
      <c r="X364" s="122"/>
    </row>
    <row r="365" spans="2:24" ht="15.75">
      <c r="B365" s="65"/>
      <c r="C365" s="65"/>
      <c r="D365" s="65"/>
      <c r="E365" s="65"/>
      <c r="F365" s="65"/>
      <c r="G365" s="65"/>
      <c r="H365" s="66"/>
      <c r="I365" s="66"/>
      <c r="J365" s="66"/>
      <c r="K365" s="120"/>
      <c r="L365" s="120"/>
      <c r="M365" s="120"/>
      <c r="N365" s="120"/>
      <c r="O365" s="494" t="s">
        <v>665</v>
      </c>
      <c r="P365" s="494"/>
      <c r="Q365" s="249"/>
      <c r="R365" s="123"/>
      <c r="S365" s="123"/>
      <c r="T365" s="123"/>
      <c r="U365" s="122"/>
      <c r="V365" s="123"/>
      <c r="W365" s="123"/>
      <c r="X365" s="122"/>
    </row>
    <row r="366" spans="2:24" ht="18.75">
      <c r="B366" s="65"/>
      <c r="C366" s="65"/>
      <c r="D366" s="65"/>
      <c r="E366" s="65"/>
      <c r="F366" s="65"/>
      <c r="G366" s="65"/>
      <c r="H366" s="66"/>
      <c r="I366" s="66"/>
      <c r="J366" s="66"/>
      <c r="K366" s="120"/>
      <c r="L366" s="120"/>
      <c r="M366" s="120"/>
      <c r="N366" s="120"/>
      <c r="O366" s="118">
        <v>2021</v>
      </c>
      <c r="P366" s="118">
        <v>2020</v>
      </c>
      <c r="Q366" s="118">
        <v>2019</v>
      </c>
      <c r="R366" s="123"/>
      <c r="S366" s="123"/>
      <c r="T366" s="123"/>
      <c r="U366" s="122"/>
      <c r="V366" s="123"/>
      <c r="W366" s="123"/>
      <c r="X366" s="122"/>
    </row>
    <row r="367" spans="2:24" ht="18.75">
      <c r="B367" s="117" t="s">
        <v>8</v>
      </c>
      <c r="C367" s="13"/>
      <c r="D367" s="13"/>
      <c r="E367" s="13"/>
      <c r="F367" s="13"/>
      <c r="G367" s="13"/>
      <c r="H367" s="11">
        <f>822411.64+346844.92+33602+19998.64</f>
        <v>1222857.2</v>
      </c>
      <c r="I367" s="7"/>
      <c r="J367" s="7"/>
      <c r="O367" s="101">
        <f>563671.95+114332.48+42998.18+19998.64</f>
        <v>741001.25</v>
      </c>
      <c r="P367" s="101">
        <f>534423.41+114332.48+42998.18+19998.64</f>
        <v>711752.7100000001</v>
      </c>
      <c r="Q367" s="101">
        <f>1189173.65+356176.74+61636.7+22331.59</f>
        <v>1629318.68</v>
      </c>
      <c r="T367" s="339">
        <f>1094519+346844.92+42690.34+19998.64</f>
        <v>1504052.9</v>
      </c>
      <c r="U367" s="339">
        <f>1094519+346844.92+42690.34+19998.64</f>
        <v>1504052.9</v>
      </c>
      <c r="X367" s="339">
        <f>955425.88+346844.92+42690.34+19998.64</f>
        <v>1364959.78</v>
      </c>
    </row>
    <row r="368" spans="1:24" ht="16.5">
      <c r="A368" s="153"/>
      <c r="B368" s="65" t="s">
        <v>26</v>
      </c>
      <c r="C368" s="65"/>
      <c r="D368" s="65"/>
      <c r="E368" s="65"/>
      <c r="F368" s="65"/>
      <c r="G368" s="65"/>
      <c r="H368" s="74"/>
      <c r="I368" s="74"/>
      <c r="J368" s="74"/>
      <c r="K368" s="157"/>
      <c r="L368" s="120"/>
      <c r="M368" s="120"/>
      <c r="N368" s="120"/>
      <c r="O368" s="136"/>
      <c r="P368" s="120"/>
      <c r="Q368" s="120"/>
      <c r="R368" s="123"/>
      <c r="S368" s="123"/>
      <c r="T368" s="123"/>
      <c r="U368" s="122"/>
      <c r="V368" s="123"/>
      <c r="W368" s="123"/>
      <c r="X368" s="122"/>
    </row>
    <row r="369" spans="2:24" ht="17.25" thickBot="1">
      <c r="B369" s="65" t="s">
        <v>124</v>
      </c>
      <c r="C369" s="65"/>
      <c r="D369" s="65"/>
      <c r="E369" s="65"/>
      <c r="F369" s="65"/>
      <c r="G369" s="65"/>
      <c r="H369" s="68">
        <v>796240.79</v>
      </c>
      <c r="I369" s="78"/>
      <c r="J369" s="78"/>
      <c r="K369" s="120"/>
      <c r="L369" s="120"/>
      <c r="M369" s="120"/>
      <c r="N369" s="120"/>
      <c r="O369" s="93">
        <f>+'Depreciación Acumulada'!E164</f>
        <v>514748.54</v>
      </c>
      <c r="P369" s="93">
        <f>+'Depreciación Acumulada'!F164</f>
        <v>410123.08999999997</v>
      </c>
      <c r="Q369" s="93">
        <f>+'Depreciación Acumulada'!G164</f>
        <v>1370037.26</v>
      </c>
      <c r="R369" s="123"/>
      <c r="S369" s="123"/>
      <c r="T369" s="324">
        <v>1251003.58</v>
      </c>
      <c r="U369" s="324">
        <v>1131969.9</v>
      </c>
      <c r="V369" s="123"/>
      <c r="W369" s="123"/>
      <c r="X369" s="324">
        <v>954887.35</v>
      </c>
    </row>
    <row r="370" spans="2:24" ht="18.75">
      <c r="B370" s="117" t="s">
        <v>125</v>
      </c>
      <c r="C370" s="65"/>
      <c r="D370" s="65"/>
      <c r="E370" s="65"/>
      <c r="F370" s="65"/>
      <c r="G370" s="65"/>
      <c r="H370" s="74">
        <f>+H367-H369</f>
        <v>426616.4099999999</v>
      </c>
      <c r="I370" s="74"/>
      <c r="J370" s="74"/>
      <c r="K370" s="120"/>
      <c r="L370" s="120"/>
      <c r="M370" s="120"/>
      <c r="N370" s="120"/>
      <c r="O370" s="131">
        <f>+O367-O369</f>
        <v>226252.71000000002</v>
      </c>
      <c r="P370" s="131">
        <f>+P367-P369</f>
        <v>301629.6200000001</v>
      </c>
      <c r="Q370" s="131">
        <f>+Q367-Q369</f>
        <v>259281.41999999993</v>
      </c>
      <c r="R370" s="123"/>
      <c r="S370" s="123"/>
      <c r="T370" s="132">
        <f>+T367-T369</f>
        <v>253049.31999999983</v>
      </c>
      <c r="U370" s="132">
        <f>+U367-U369</f>
        <v>372083</v>
      </c>
      <c r="V370" s="123"/>
      <c r="W370" s="123"/>
      <c r="X370" s="132">
        <f>+X367-X369</f>
        <v>410072.43000000005</v>
      </c>
    </row>
    <row r="371" spans="2:24" ht="15.75">
      <c r="B371" s="65"/>
      <c r="C371" s="65"/>
      <c r="D371" s="65"/>
      <c r="E371" s="65"/>
      <c r="F371" s="65"/>
      <c r="G371" s="65"/>
      <c r="H371" s="66"/>
      <c r="I371" s="66"/>
      <c r="J371" s="66"/>
      <c r="K371" s="120"/>
      <c r="L371" s="120"/>
      <c r="M371" s="120"/>
      <c r="N371" s="120"/>
      <c r="O371" s="136"/>
      <c r="P371" s="120"/>
      <c r="Q371" s="120"/>
      <c r="R371" s="123"/>
      <c r="S371" s="123"/>
      <c r="T371" s="123"/>
      <c r="U371" s="122"/>
      <c r="V371" s="123"/>
      <c r="W371" s="123"/>
      <c r="X371" s="122"/>
    </row>
    <row r="372" spans="2:24" ht="15.75">
      <c r="B372" s="65"/>
      <c r="C372" s="65"/>
      <c r="D372" s="65"/>
      <c r="E372" s="65"/>
      <c r="F372" s="65"/>
      <c r="G372" s="65"/>
      <c r="H372" s="66"/>
      <c r="I372" s="66"/>
      <c r="J372" s="66"/>
      <c r="K372" s="120"/>
      <c r="L372" s="120"/>
      <c r="M372" s="120"/>
      <c r="N372" s="120"/>
      <c r="O372" s="136"/>
      <c r="P372" s="120"/>
      <c r="Q372" s="120"/>
      <c r="R372" s="123"/>
      <c r="S372" s="123"/>
      <c r="T372" s="123"/>
      <c r="U372" s="122"/>
      <c r="V372" s="123"/>
      <c r="W372" s="123"/>
      <c r="X372" s="122"/>
    </row>
    <row r="373" spans="2:24" ht="18.75">
      <c r="B373" s="117" t="s">
        <v>143</v>
      </c>
      <c r="C373" s="13"/>
      <c r="D373" s="13"/>
      <c r="E373" s="13"/>
      <c r="F373" s="13"/>
      <c r="G373" s="13"/>
      <c r="H373" s="7"/>
      <c r="I373" s="7"/>
      <c r="J373" s="7"/>
      <c r="O373" s="494" t="s">
        <v>665</v>
      </c>
      <c r="P373" s="494"/>
      <c r="Q373" s="249"/>
      <c r="U373" s="326"/>
      <c r="X373" s="326"/>
    </row>
    <row r="374" spans="2:24" ht="18.75">
      <c r="B374" s="13"/>
      <c r="C374" s="13"/>
      <c r="D374" s="13"/>
      <c r="E374" s="13"/>
      <c r="F374" s="13"/>
      <c r="G374" s="13"/>
      <c r="H374" s="7"/>
      <c r="I374" s="7"/>
      <c r="J374" s="7"/>
      <c r="O374" s="118">
        <v>2021</v>
      </c>
      <c r="P374" s="118">
        <v>2020</v>
      </c>
      <c r="Q374" s="118">
        <v>2019</v>
      </c>
      <c r="U374" s="326"/>
      <c r="X374" s="326"/>
    </row>
    <row r="375" spans="2:24" ht="15.75" hidden="1">
      <c r="B375" s="65" t="s">
        <v>17</v>
      </c>
      <c r="C375" s="65"/>
      <c r="D375" s="65"/>
      <c r="E375" s="65"/>
      <c r="F375" s="65"/>
      <c r="G375" s="65"/>
      <c r="H375" s="66">
        <v>777970.4</v>
      </c>
      <c r="I375" s="66"/>
      <c r="J375" s="66"/>
      <c r="K375" s="120"/>
      <c r="L375" s="120"/>
      <c r="M375" s="120"/>
      <c r="N375" s="120"/>
      <c r="O375" s="136"/>
      <c r="P375" s="72">
        <v>0</v>
      </c>
      <c r="Q375" s="72">
        <v>777970.4</v>
      </c>
      <c r="R375" s="123"/>
      <c r="S375" s="123"/>
      <c r="T375" s="122">
        <v>777970.4</v>
      </c>
      <c r="U375" s="122">
        <v>777970.4</v>
      </c>
      <c r="V375" s="123"/>
      <c r="W375" s="123"/>
      <c r="X375" s="122">
        <v>777970.4</v>
      </c>
    </row>
    <row r="376" spans="2:24" ht="15.75" hidden="1">
      <c r="B376" s="65" t="s">
        <v>18</v>
      </c>
      <c r="C376" s="65"/>
      <c r="D376" s="65"/>
      <c r="E376" s="65"/>
      <c r="F376" s="65"/>
      <c r="G376" s="65"/>
      <c r="H376" s="66">
        <v>167902</v>
      </c>
      <c r="I376" s="66"/>
      <c r="J376" s="66"/>
      <c r="K376" s="120"/>
      <c r="L376" s="120"/>
      <c r="M376" s="120"/>
      <c r="N376" s="120"/>
      <c r="O376" s="136"/>
      <c r="P376" s="72">
        <v>0</v>
      </c>
      <c r="Q376" s="72">
        <v>167902</v>
      </c>
      <c r="R376" s="123"/>
      <c r="S376" s="123"/>
      <c r="T376" s="122">
        <v>167902</v>
      </c>
      <c r="U376" s="122">
        <v>167902</v>
      </c>
      <c r="V376" s="123"/>
      <c r="W376" s="123"/>
      <c r="X376" s="122">
        <v>167902</v>
      </c>
    </row>
    <row r="377" spans="2:24" ht="15.75" hidden="1">
      <c r="B377" s="65" t="s">
        <v>19</v>
      </c>
      <c r="C377" s="65"/>
      <c r="D377" s="65"/>
      <c r="E377" s="65"/>
      <c r="F377" s="65"/>
      <c r="G377" s="65"/>
      <c r="H377" s="67">
        <v>164402</v>
      </c>
      <c r="I377" s="67"/>
      <c r="J377" s="67"/>
      <c r="K377" s="120"/>
      <c r="L377" s="120"/>
      <c r="M377" s="120"/>
      <c r="N377" s="120"/>
      <c r="O377" s="136"/>
      <c r="P377" s="72">
        <v>0</v>
      </c>
      <c r="Q377" s="72">
        <v>164402</v>
      </c>
      <c r="R377" s="123"/>
      <c r="S377" s="123"/>
      <c r="T377" s="122">
        <v>164402</v>
      </c>
      <c r="U377" s="122">
        <v>164402</v>
      </c>
      <c r="V377" s="123"/>
      <c r="W377" s="123"/>
      <c r="X377" s="122">
        <v>164402</v>
      </c>
    </row>
    <row r="378" spans="2:24" ht="15.75" hidden="1">
      <c r="B378" s="65" t="s">
        <v>257</v>
      </c>
      <c r="C378" s="65"/>
      <c r="D378" s="65"/>
      <c r="E378" s="65"/>
      <c r="F378" s="65"/>
      <c r="G378" s="65"/>
      <c r="H378" s="67">
        <v>56602.57</v>
      </c>
      <c r="I378" s="67"/>
      <c r="J378" s="67"/>
      <c r="K378" s="120"/>
      <c r="L378" s="120"/>
      <c r="M378" s="120"/>
      <c r="N378" s="120"/>
      <c r="O378" s="136"/>
      <c r="P378" s="72">
        <v>0</v>
      </c>
      <c r="Q378" s="72">
        <v>190550.27</v>
      </c>
      <c r="R378" s="123"/>
      <c r="S378" s="123"/>
      <c r="T378" s="122">
        <v>190550.27</v>
      </c>
      <c r="U378" s="122">
        <v>56602.57</v>
      </c>
      <c r="V378" s="123"/>
      <c r="W378" s="123"/>
      <c r="X378" s="122">
        <v>56602.57</v>
      </c>
    </row>
    <row r="379" spans="2:24" ht="16.5" thickBot="1">
      <c r="B379" s="65" t="s">
        <v>144</v>
      </c>
      <c r="C379" s="65"/>
      <c r="D379" s="65"/>
      <c r="E379" s="65"/>
      <c r="F379" s="65"/>
      <c r="G379" s="65"/>
      <c r="H379" s="68">
        <v>226896</v>
      </c>
      <c r="I379" s="67"/>
      <c r="J379" s="67"/>
      <c r="K379" s="120"/>
      <c r="L379" s="120"/>
      <c r="M379" s="120"/>
      <c r="N379" s="120"/>
      <c r="O379" s="73">
        <v>226896</v>
      </c>
      <c r="P379" s="73">
        <v>226896</v>
      </c>
      <c r="Q379" s="73">
        <v>226896</v>
      </c>
      <c r="R379" s="123"/>
      <c r="S379" s="123"/>
      <c r="T379" s="324">
        <v>226896</v>
      </c>
      <c r="U379" s="324">
        <v>226896</v>
      </c>
      <c r="V379" s="123"/>
      <c r="W379" s="123"/>
      <c r="X379" s="324">
        <v>226896</v>
      </c>
    </row>
    <row r="380" spans="2:24" ht="16.5">
      <c r="B380" s="65"/>
      <c r="C380" s="65"/>
      <c r="D380" s="65"/>
      <c r="E380" s="65"/>
      <c r="F380" s="65"/>
      <c r="G380" s="65"/>
      <c r="H380" s="74">
        <f>SUM(H374:H379)</f>
        <v>1393772.97</v>
      </c>
      <c r="I380" s="74"/>
      <c r="J380" s="74"/>
      <c r="K380" s="120"/>
      <c r="L380" s="120"/>
      <c r="M380" s="120"/>
      <c r="N380" s="120"/>
      <c r="O380" s="131">
        <f>SUM(O375:O379)</f>
        <v>226896</v>
      </c>
      <c r="P380" s="131">
        <f>SUM(P375:P379)</f>
        <v>226896</v>
      </c>
      <c r="Q380" s="131">
        <f>SUM(Q375:Q379)</f>
        <v>1527720.67</v>
      </c>
      <c r="R380" s="123"/>
      <c r="S380" s="123"/>
      <c r="T380" s="132">
        <f>SUM(T375:T379)</f>
        <v>1527720.67</v>
      </c>
      <c r="U380" s="132">
        <f>SUM(U375:U379)</f>
        <v>1393772.97</v>
      </c>
      <c r="V380" s="123"/>
      <c r="W380" s="123"/>
      <c r="X380" s="132">
        <f>SUM(X375:X379)</f>
        <v>1393772.97</v>
      </c>
    </row>
    <row r="381" spans="1:24" ht="16.5">
      <c r="A381" s="153"/>
      <c r="B381" s="65" t="s">
        <v>26</v>
      </c>
      <c r="C381" s="65"/>
      <c r="D381" s="65"/>
      <c r="E381" s="65"/>
      <c r="F381" s="65"/>
      <c r="G381" s="65"/>
      <c r="H381" s="74"/>
      <c r="I381" s="74"/>
      <c r="J381" s="74"/>
      <c r="K381" s="120"/>
      <c r="L381" s="120"/>
      <c r="M381" s="120"/>
      <c r="N381" s="120"/>
      <c r="O381" s="136"/>
      <c r="P381" s="120"/>
      <c r="Q381" s="120"/>
      <c r="R381" s="123"/>
      <c r="S381" s="123"/>
      <c r="T381" s="123"/>
      <c r="U381" s="122"/>
      <c r="V381" s="123"/>
      <c r="W381" s="123"/>
      <c r="X381" s="122"/>
    </row>
    <row r="382" spans="2:24" ht="16.5" thickBot="1">
      <c r="B382" s="65" t="s">
        <v>124</v>
      </c>
      <c r="C382" s="65"/>
      <c r="D382" s="65"/>
      <c r="E382" s="65"/>
      <c r="F382" s="65"/>
      <c r="G382" s="65"/>
      <c r="H382" s="68">
        <v>400108.77</v>
      </c>
      <c r="I382" s="67"/>
      <c r="J382" s="67"/>
      <c r="K382" s="120"/>
      <c r="L382" s="120"/>
      <c r="M382" s="120"/>
      <c r="N382" s="120"/>
      <c r="O382" s="93">
        <f>+'Depreciación Acumulada'!E178</f>
        <v>176758.53</v>
      </c>
      <c r="P382" s="93">
        <f>+'Depreciación Acumulada'!F178</f>
        <v>176758.53</v>
      </c>
      <c r="Q382" s="93">
        <f>+'Depreciación Acumulada'!G178</f>
        <v>501594.97</v>
      </c>
      <c r="R382" s="123"/>
      <c r="S382" s="123"/>
      <c r="T382" s="324">
        <v>470898.62</v>
      </c>
      <c r="U382" s="324">
        <v>440202.27</v>
      </c>
      <c r="V382" s="123"/>
      <c r="W382" s="123"/>
      <c r="X382" s="324">
        <v>428410.05</v>
      </c>
    </row>
    <row r="383" spans="2:24" ht="18.75">
      <c r="B383" s="117" t="s">
        <v>125</v>
      </c>
      <c r="C383" s="65"/>
      <c r="D383" s="65"/>
      <c r="E383" s="65"/>
      <c r="F383" s="65"/>
      <c r="G383" s="65"/>
      <c r="H383" s="78">
        <f>+H380-H382</f>
        <v>993664.2</v>
      </c>
      <c r="I383" s="78"/>
      <c r="J383" s="78"/>
      <c r="K383" s="120"/>
      <c r="L383" s="120"/>
      <c r="M383" s="120"/>
      <c r="N383" s="120"/>
      <c r="O383" s="131">
        <f>+O380-O382</f>
        <v>50137.47</v>
      </c>
      <c r="P383" s="131">
        <f>+P380-P382</f>
        <v>50137.47</v>
      </c>
      <c r="Q383" s="131">
        <f>+Q380-Q382</f>
        <v>1026125.7</v>
      </c>
      <c r="R383" s="123"/>
      <c r="S383" s="123"/>
      <c r="T383" s="132">
        <f>+T380-T382</f>
        <v>1056822.0499999998</v>
      </c>
      <c r="U383" s="132">
        <f>+U380-U382</f>
        <v>953570.7</v>
      </c>
      <c r="V383" s="123"/>
      <c r="W383" s="123"/>
      <c r="X383" s="132">
        <f>+X380-X382</f>
        <v>965362.9199999999</v>
      </c>
    </row>
    <row r="384" spans="2:24" ht="15.75">
      <c r="B384" s="65"/>
      <c r="C384" s="65"/>
      <c r="D384" s="65"/>
      <c r="E384" s="65"/>
      <c r="F384" s="65"/>
      <c r="G384" s="65"/>
      <c r="H384" s="66"/>
      <c r="I384" s="66"/>
      <c r="J384" s="66"/>
      <c r="K384" s="120"/>
      <c r="L384" s="120"/>
      <c r="M384" s="120"/>
      <c r="N384" s="120"/>
      <c r="O384" s="136"/>
      <c r="P384" s="120"/>
      <c r="Q384" s="120"/>
      <c r="R384" s="123"/>
      <c r="S384" s="123"/>
      <c r="T384" s="123"/>
      <c r="U384" s="122"/>
      <c r="V384" s="123"/>
      <c r="W384" s="123"/>
      <c r="X384" s="122"/>
    </row>
    <row r="385" spans="2:24" ht="15">
      <c r="B385" s="13"/>
      <c r="C385" s="13"/>
      <c r="D385" s="13"/>
      <c r="E385" s="13"/>
      <c r="F385" s="13"/>
      <c r="G385" s="13"/>
      <c r="H385" s="7"/>
      <c r="I385" s="7"/>
      <c r="J385" s="7"/>
      <c r="O385" s="494" t="s">
        <v>665</v>
      </c>
      <c r="P385" s="494"/>
      <c r="Q385" s="249"/>
      <c r="X385" s="326"/>
    </row>
    <row r="386" spans="2:24" ht="18.75">
      <c r="B386" s="117" t="s">
        <v>145</v>
      </c>
      <c r="C386" s="13"/>
      <c r="D386" s="13"/>
      <c r="E386" s="13"/>
      <c r="F386" s="13"/>
      <c r="G386" s="13"/>
      <c r="H386" s="7"/>
      <c r="I386" s="7"/>
      <c r="J386" s="7"/>
      <c r="O386" s="118">
        <v>2021</v>
      </c>
      <c r="P386" s="118">
        <v>2020</v>
      </c>
      <c r="Q386" s="118">
        <v>2019</v>
      </c>
      <c r="X386" s="326"/>
    </row>
    <row r="387" spans="2:24" ht="15.75">
      <c r="B387" s="65" t="s">
        <v>145</v>
      </c>
      <c r="C387" s="65"/>
      <c r="D387" s="65"/>
      <c r="E387" s="65"/>
      <c r="F387" s="65"/>
      <c r="G387" s="65"/>
      <c r="H387" s="66">
        <v>2094464.16</v>
      </c>
      <c r="I387" s="66"/>
      <c r="J387" s="66"/>
      <c r="K387" s="120"/>
      <c r="L387" s="120"/>
      <c r="M387" s="120"/>
      <c r="N387" s="120"/>
      <c r="O387" s="72">
        <v>1667816.53</v>
      </c>
      <c r="P387" s="72">
        <v>1667816.53</v>
      </c>
      <c r="Q387" s="72">
        <v>2094464.16</v>
      </c>
      <c r="R387" s="123"/>
      <c r="S387" s="123"/>
      <c r="T387" s="122">
        <v>2094464.16</v>
      </c>
      <c r="U387" s="122">
        <v>2094464.16</v>
      </c>
      <c r="V387" s="123"/>
      <c r="W387" s="123"/>
      <c r="X387" s="122">
        <v>2094464.16</v>
      </c>
    </row>
    <row r="388" spans="22:24" ht="15.75" hidden="1">
      <c r="V388" s="123"/>
      <c r="W388" s="123"/>
      <c r="X388" s="122">
        <v>965181.39</v>
      </c>
    </row>
    <row r="389" spans="2:24" ht="16.5" thickBot="1">
      <c r="B389" s="65" t="s">
        <v>147</v>
      </c>
      <c r="C389" s="65"/>
      <c r="D389" s="65"/>
      <c r="E389" s="65"/>
      <c r="F389" s="65"/>
      <c r="G389" s="65"/>
      <c r="H389" s="68">
        <f>1915816.48+1682731.77</f>
        <v>3598548.25</v>
      </c>
      <c r="I389" s="67"/>
      <c r="J389" s="67"/>
      <c r="K389" s="120"/>
      <c r="L389" s="120"/>
      <c r="M389" s="120"/>
      <c r="N389" s="120"/>
      <c r="O389" s="73">
        <f>1207529.25+241007.5</f>
        <v>1448536.75</v>
      </c>
      <c r="P389" s="73">
        <f>1207529.25+148712.92</f>
        <v>1356242.17</v>
      </c>
      <c r="Q389" s="73">
        <f>1915816.48+2331459.17</f>
        <v>4247275.65</v>
      </c>
      <c r="R389" s="123"/>
      <c r="S389" s="123"/>
      <c r="T389" s="324">
        <f>1915816.48+2102119.99</f>
        <v>4017936.47</v>
      </c>
      <c r="U389" s="324">
        <f>1915816.48+1942284.16</f>
        <v>3858100.6399999997</v>
      </c>
      <c r="V389" s="123"/>
      <c r="W389" s="123"/>
      <c r="X389" s="324">
        <f>1915816.48+1809972.67</f>
        <v>3725789.15</v>
      </c>
    </row>
    <row r="390" spans="2:24" ht="16.5">
      <c r="B390" s="65"/>
      <c r="C390" s="65"/>
      <c r="D390" s="65"/>
      <c r="E390" s="65"/>
      <c r="F390" s="65"/>
      <c r="G390" s="65"/>
      <c r="H390" s="74">
        <f>SUM(H387:H389)</f>
        <v>5693012.41</v>
      </c>
      <c r="I390" s="74"/>
      <c r="J390" s="74"/>
      <c r="K390" s="120"/>
      <c r="L390" s="120"/>
      <c r="M390" s="120"/>
      <c r="N390" s="120"/>
      <c r="O390" s="158">
        <f>SUM(O387:O389)</f>
        <v>3116353.2800000003</v>
      </c>
      <c r="P390" s="158">
        <f>SUM(P387:P389)</f>
        <v>3024058.7</v>
      </c>
      <c r="Q390" s="158">
        <f>SUM(Q387:Q389)</f>
        <v>6341739.8100000005</v>
      </c>
      <c r="R390" s="123"/>
      <c r="S390" s="123"/>
      <c r="T390" s="132">
        <f>SUM(T387:T389)</f>
        <v>6112400.63</v>
      </c>
      <c r="U390" s="132">
        <f>SUM(U387:U389)</f>
        <v>5952564.8</v>
      </c>
      <c r="V390" s="123"/>
      <c r="W390" s="123"/>
      <c r="X390" s="132">
        <f>SUM(X387:X389)</f>
        <v>6785434.699999999</v>
      </c>
    </row>
    <row r="391" spans="2:24" ht="16.5">
      <c r="B391" s="65" t="s">
        <v>26</v>
      </c>
      <c r="C391" s="65"/>
      <c r="D391" s="65"/>
      <c r="E391" s="65"/>
      <c r="F391" s="65"/>
      <c r="G391" s="65"/>
      <c r="H391" s="74"/>
      <c r="I391" s="74"/>
      <c r="J391" s="74"/>
      <c r="K391" s="120"/>
      <c r="L391" s="120"/>
      <c r="M391" s="120"/>
      <c r="N391" s="120"/>
      <c r="O391" s="136"/>
      <c r="P391" s="120"/>
      <c r="Q391" s="120"/>
      <c r="R391" s="123"/>
      <c r="S391" s="123"/>
      <c r="T391" s="123"/>
      <c r="U391" s="122"/>
      <c r="V391" s="123"/>
      <c r="W391" s="123"/>
      <c r="X391" s="122"/>
    </row>
    <row r="392" spans="2:24" ht="16.5" thickBot="1">
      <c r="B392" s="65" t="s">
        <v>124</v>
      </c>
      <c r="C392" s="65"/>
      <c r="D392" s="65"/>
      <c r="E392" s="65"/>
      <c r="F392" s="65"/>
      <c r="G392" s="65"/>
      <c r="H392" s="68">
        <v>6378350.13</v>
      </c>
      <c r="I392" s="67"/>
      <c r="J392" s="67"/>
      <c r="K392" s="157"/>
      <c r="L392" s="157"/>
      <c r="M392" s="120"/>
      <c r="N392" s="120"/>
      <c r="O392" s="73">
        <f>+'Depreciación Acumulada'!E189</f>
        <v>2292898.25</v>
      </c>
      <c r="P392" s="73">
        <f>+'Depreciación Acumulada'!F189</f>
        <v>1981591.3499999999</v>
      </c>
      <c r="Q392" s="73">
        <f>+'Depreciación Acumulada'!G189</f>
        <v>5904892.88</v>
      </c>
      <c r="R392" s="123"/>
      <c r="S392" s="123"/>
      <c r="T392" s="324">
        <v>5676476.21</v>
      </c>
      <c r="U392" s="324">
        <v>6339238.15</v>
      </c>
      <c r="V392" s="123"/>
      <c r="W392" s="123"/>
      <c r="X392" s="324">
        <v>6687839.98</v>
      </c>
    </row>
    <row r="393" spans="2:24" ht="18.75">
      <c r="B393" s="117" t="s">
        <v>125</v>
      </c>
      <c r="C393" s="65"/>
      <c r="D393" s="65"/>
      <c r="E393" s="65"/>
      <c r="F393" s="65"/>
      <c r="G393" s="65"/>
      <c r="H393" s="78">
        <f>+H390-H392</f>
        <v>-685337.7199999997</v>
      </c>
      <c r="I393" s="78"/>
      <c r="J393" s="78"/>
      <c r="K393" s="120"/>
      <c r="L393" s="120"/>
      <c r="M393" s="120"/>
      <c r="N393" s="120"/>
      <c r="O393" s="158">
        <f>+O390-O392</f>
        <v>823455.0300000003</v>
      </c>
      <c r="P393" s="158">
        <f>+P390-P392</f>
        <v>1042467.3500000003</v>
      </c>
      <c r="Q393" s="158">
        <f>+Q390-Q392</f>
        <v>436846.93000000063</v>
      </c>
      <c r="R393" s="123"/>
      <c r="S393" s="123"/>
      <c r="T393" s="132">
        <f>+T390-T392</f>
        <v>435924.4199999999</v>
      </c>
      <c r="U393" s="132">
        <f>+U390-U392</f>
        <v>-386673.35000000056</v>
      </c>
      <c r="V393" s="123"/>
      <c r="W393" s="123"/>
      <c r="X393" s="132">
        <f>+X390-X392</f>
        <v>97594.71999999881</v>
      </c>
    </row>
    <row r="394" spans="2:24" ht="16.5" thickBot="1">
      <c r="B394" s="65"/>
      <c r="C394" s="65"/>
      <c r="D394" s="65"/>
      <c r="E394" s="65"/>
      <c r="F394" s="65"/>
      <c r="G394" s="65"/>
      <c r="H394" s="68"/>
      <c r="I394" s="66"/>
      <c r="J394" s="66"/>
      <c r="K394" s="120"/>
      <c r="L394" s="120"/>
      <c r="M394" s="120"/>
      <c r="N394" s="120"/>
      <c r="O394" s="151"/>
      <c r="P394" s="151"/>
      <c r="Q394" s="151"/>
      <c r="R394" s="123"/>
      <c r="S394" s="123"/>
      <c r="T394" s="351"/>
      <c r="U394" s="324"/>
      <c r="V394" s="123"/>
      <c r="W394" s="123"/>
      <c r="X394" s="324"/>
    </row>
    <row r="395" spans="2:24" ht="21" thickBot="1">
      <c r="B395" s="208" t="s">
        <v>149</v>
      </c>
      <c r="C395" s="65"/>
      <c r="D395" s="65"/>
      <c r="E395" s="65"/>
      <c r="F395" s="65"/>
      <c r="G395" s="65"/>
      <c r="H395" s="76">
        <f>+H363+H370+H383+H393</f>
        <v>734942.8900000001</v>
      </c>
      <c r="I395" s="65"/>
      <c r="J395" s="65"/>
      <c r="K395" s="120"/>
      <c r="L395" s="120"/>
      <c r="M395" s="120"/>
      <c r="N395" s="120"/>
      <c r="O395" s="159">
        <f>+O363+O370+O383+O393</f>
        <v>1174157.6700000004</v>
      </c>
      <c r="P395" s="159">
        <f>+P363+P370+P383+P393</f>
        <v>1468546.9000000004</v>
      </c>
      <c r="Q395" s="159">
        <f>+Q363+Q370+Q383+Q393</f>
        <v>1807182.5900000005</v>
      </c>
      <c r="R395" s="123"/>
      <c r="S395" s="123"/>
      <c r="T395" s="352">
        <f>+T363+T370+T383+T393</f>
        <v>1851956.4599999995</v>
      </c>
      <c r="U395" s="352">
        <f>+U363+U370+U383+U393</f>
        <v>938980.3499999994</v>
      </c>
      <c r="V395" s="123"/>
      <c r="W395" s="123"/>
      <c r="X395" s="353">
        <f>+X363+X370+X383+X393</f>
        <v>1473030.069999999</v>
      </c>
    </row>
    <row r="396" spans="2:24" ht="15.75" thickTop="1">
      <c r="B396" s="13"/>
      <c r="C396" s="13"/>
      <c r="D396" s="13"/>
      <c r="E396" s="13"/>
      <c r="F396" s="13"/>
      <c r="G396" s="13"/>
      <c r="H396" s="13"/>
      <c r="I396" s="13"/>
      <c r="J396" s="13"/>
      <c r="X396" s="326"/>
    </row>
    <row r="397" spans="2:24" ht="16.5">
      <c r="B397" s="77"/>
      <c r="C397" s="13"/>
      <c r="D397" s="13"/>
      <c r="E397" s="13"/>
      <c r="F397" s="13"/>
      <c r="G397" s="13"/>
      <c r="H397" s="13"/>
      <c r="I397" s="13"/>
      <c r="J397" s="13"/>
      <c r="X397" s="326"/>
    </row>
    <row r="398" spans="2:24" ht="18.75">
      <c r="B398" s="117" t="s">
        <v>20</v>
      </c>
      <c r="C398" s="13"/>
      <c r="D398" s="13"/>
      <c r="E398" s="13"/>
      <c r="F398" s="13"/>
      <c r="G398" s="13"/>
      <c r="H398" s="13"/>
      <c r="I398" s="13"/>
      <c r="J398" s="13"/>
      <c r="O398" s="494" t="s">
        <v>665</v>
      </c>
      <c r="P398" s="494"/>
      <c r="Q398" s="249"/>
      <c r="T398" s="317">
        <v>2018</v>
      </c>
      <c r="U398" s="335">
        <v>2017</v>
      </c>
      <c r="V398" s="340"/>
      <c r="W398" s="340"/>
      <c r="X398" s="335">
        <v>2016</v>
      </c>
    </row>
    <row r="399" spans="2:24" ht="18.75">
      <c r="B399" s="65" t="s">
        <v>676</v>
      </c>
      <c r="C399" s="13"/>
      <c r="D399" s="13"/>
      <c r="E399" s="13"/>
      <c r="F399" s="13"/>
      <c r="G399" s="13"/>
      <c r="H399" s="13"/>
      <c r="I399" s="13"/>
      <c r="J399" s="13"/>
      <c r="O399" s="118">
        <v>2021</v>
      </c>
      <c r="P399" s="118">
        <v>2020</v>
      </c>
      <c r="Q399" s="118">
        <v>2019</v>
      </c>
      <c r="X399" s="326"/>
    </row>
    <row r="400" spans="2:24" ht="15.75">
      <c r="B400" s="65" t="s">
        <v>724</v>
      </c>
      <c r="C400" s="13"/>
      <c r="D400" s="13"/>
      <c r="E400" s="13"/>
      <c r="F400" s="13"/>
      <c r="G400" s="13"/>
      <c r="H400" s="13"/>
      <c r="I400" s="13"/>
      <c r="J400" s="13"/>
      <c r="X400" s="326"/>
    </row>
    <row r="401" spans="2:24" ht="16.5">
      <c r="B401" s="77"/>
      <c r="C401" s="65"/>
      <c r="D401" s="65"/>
      <c r="E401" s="65"/>
      <c r="F401" s="65"/>
      <c r="G401" s="65"/>
      <c r="H401" s="66"/>
      <c r="I401" s="65"/>
      <c r="J401" s="65"/>
      <c r="K401" s="120"/>
      <c r="L401" s="120"/>
      <c r="M401" s="120"/>
      <c r="N401" s="120"/>
      <c r="O401" s="136"/>
      <c r="P401" s="120"/>
      <c r="Q401" s="120"/>
      <c r="R401" s="123"/>
      <c r="S401" s="123"/>
      <c r="T401" s="123"/>
      <c r="U401" s="123"/>
      <c r="V401" s="123"/>
      <c r="W401" s="123"/>
      <c r="X401" s="122"/>
    </row>
    <row r="402" spans="2:24" ht="15.75">
      <c r="B402" s="65" t="s">
        <v>132</v>
      </c>
      <c r="C402" s="65"/>
      <c r="D402" s="65"/>
      <c r="E402" s="65"/>
      <c r="F402" s="65"/>
      <c r="G402" s="65"/>
      <c r="H402" s="66">
        <v>837000.31</v>
      </c>
      <c r="I402" s="65"/>
      <c r="J402" s="65"/>
      <c r="K402" s="120"/>
      <c r="L402" s="120"/>
      <c r="M402" s="120"/>
      <c r="N402" s="120"/>
      <c r="O402" s="72">
        <f>832000.31</f>
        <v>832000.31</v>
      </c>
      <c r="P402" s="72">
        <f>832000.31</f>
        <v>832000.31</v>
      </c>
      <c r="Q402" s="72">
        <v>837000.31</v>
      </c>
      <c r="R402" s="123"/>
      <c r="S402" s="123"/>
      <c r="T402" s="122">
        <v>837000.31</v>
      </c>
      <c r="U402" s="122">
        <v>837000.31</v>
      </c>
      <c r="V402" s="123"/>
      <c r="W402" s="123"/>
      <c r="X402" s="122">
        <v>837000.31</v>
      </c>
    </row>
    <row r="403" spans="2:24" ht="15.75">
      <c r="B403" s="65" t="s">
        <v>137</v>
      </c>
      <c r="C403" s="65"/>
      <c r="D403" s="65"/>
      <c r="E403" s="65"/>
      <c r="F403" s="65"/>
      <c r="G403" s="65"/>
      <c r="H403" s="66"/>
      <c r="I403" s="65"/>
      <c r="J403" s="65"/>
      <c r="K403" s="120"/>
      <c r="L403" s="120"/>
      <c r="M403" s="120"/>
      <c r="N403" s="120"/>
      <c r="O403" s="72">
        <v>5000</v>
      </c>
      <c r="P403" s="72">
        <v>5000</v>
      </c>
      <c r="Q403" s="72"/>
      <c r="R403" s="123"/>
      <c r="S403" s="123"/>
      <c r="T403" s="122"/>
      <c r="U403" s="122"/>
      <c r="V403" s="123"/>
      <c r="W403" s="123"/>
      <c r="X403" s="122"/>
    </row>
    <row r="404" spans="2:24" ht="16.5" thickBot="1">
      <c r="B404" s="65" t="s">
        <v>136</v>
      </c>
      <c r="C404" s="65"/>
      <c r="D404" s="65"/>
      <c r="E404" s="65"/>
      <c r="F404" s="65"/>
      <c r="G404" s="65"/>
      <c r="H404" s="68">
        <v>71344.5</v>
      </c>
      <c r="I404" s="65"/>
      <c r="J404" s="65"/>
      <c r="K404" s="120"/>
      <c r="L404" s="120"/>
      <c r="M404" s="120"/>
      <c r="N404" s="120"/>
      <c r="O404" s="73">
        <v>71344.5</v>
      </c>
      <c r="P404" s="73">
        <v>71344.5</v>
      </c>
      <c r="Q404" s="73">
        <v>71344.5</v>
      </c>
      <c r="R404" s="123"/>
      <c r="S404" s="123"/>
      <c r="T404" s="324">
        <v>71344.5</v>
      </c>
      <c r="U404" s="324">
        <v>71344.5</v>
      </c>
      <c r="V404" s="123"/>
      <c r="W404" s="123"/>
      <c r="X404" s="324">
        <v>71344.5</v>
      </c>
    </row>
    <row r="405" spans="2:24" ht="16.5">
      <c r="B405" s="65"/>
      <c r="C405" s="65"/>
      <c r="D405" s="65"/>
      <c r="E405" s="65"/>
      <c r="F405" s="65"/>
      <c r="G405" s="65"/>
      <c r="H405" s="74">
        <f>SUM(H402:H404)</f>
        <v>908344.81</v>
      </c>
      <c r="I405" s="65"/>
      <c r="J405" s="65"/>
      <c r="K405" s="120"/>
      <c r="L405" s="120"/>
      <c r="M405" s="120"/>
      <c r="N405" s="120"/>
      <c r="O405" s="131">
        <f>SUM(O402:O404)</f>
        <v>908344.81</v>
      </c>
      <c r="P405" s="131">
        <f>SUM(P402:P404)</f>
        <v>908344.81</v>
      </c>
      <c r="Q405" s="131">
        <f>SUM(Q402:Q404)</f>
        <v>908344.81</v>
      </c>
      <c r="R405" s="123"/>
      <c r="S405" s="123"/>
      <c r="T405" s="132">
        <f>SUM(T402:T404)</f>
        <v>908344.81</v>
      </c>
      <c r="U405" s="132">
        <v>908344.81</v>
      </c>
      <c r="V405" s="123"/>
      <c r="W405" s="123"/>
      <c r="X405" s="132">
        <f>SUM(X402:X404)</f>
        <v>908344.81</v>
      </c>
    </row>
    <row r="406" spans="2:24" ht="16.5">
      <c r="B406" s="65" t="s">
        <v>26</v>
      </c>
      <c r="C406" s="65"/>
      <c r="D406" s="65"/>
      <c r="E406" s="65"/>
      <c r="F406" s="65"/>
      <c r="G406" s="65"/>
      <c r="H406" s="74"/>
      <c r="I406" s="65"/>
      <c r="J406" s="65"/>
      <c r="K406" s="120"/>
      <c r="L406" s="120"/>
      <c r="M406" s="120"/>
      <c r="N406" s="120"/>
      <c r="O406" s="136"/>
      <c r="P406" s="120"/>
      <c r="Q406" s="120"/>
      <c r="R406" s="123"/>
      <c r="S406" s="123"/>
      <c r="T406" s="123"/>
      <c r="U406" s="122"/>
      <c r="V406" s="123"/>
      <c r="W406" s="123"/>
      <c r="X406" s="122"/>
    </row>
    <row r="407" spans="2:24" ht="17.25" thickBot="1">
      <c r="B407" s="65" t="s">
        <v>124</v>
      </c>
      <c r="C407" s="65"/>
      <c r="D407" s="65"/>
      <c r="E407" s="65"/>
      <c r="F407" s="65"/>
      <c r="G407" s="65"/>
      <c r="H407" s="79">
        <v>0</v>
      </c>
      <c r="I407" s="65"/>
      <c r="J407" s="65"/>
      <c r="K407" s="120"/>
      <c r="L407" s="120"/>
      <c r="M407" s="120"/>
      <c r="N407" s="120"/>
      <c r="O407" s="151"/>
      <c r="P407" s="151"/>
      <c r="Q407" s="151"/>
      <c r="R407" s="123"/>
      <c r="S407" s="123"/>
      <c r="T407" s="351"/>
      <c r="U407" s="354">
        <v>0</v>
      </c>
      <c r="V407" s="123"/>
      <c r="W407" s="123"/>
      <c r="X407" s="354">
        <v>0</v>
      </c>
    </row>
    <row r="408" spans="2:24" ht="16.5">
      <c r="B408" s="77" t="s">
        <v>125</v>
      </c>
      <c r="C408" s="65"/>
      <c r="D408" s="65"/>
      <c r="E408" s="65"/>
      <c r="F408" s="65"/>
      <c r="G408" s="65"/>
      <c r="H408" s="74">
        <f>+H405-H407</f>
        <v>908344.81</v>
      </c>
      <c r="I408" s="65"/>
      <c r="J408" s="65"/>
      <c r="K408" s="120"/>
      <c r="L408" s="120"/>
      <c r="M408" s="120"/>
      <c r="N408" s="120"/>
      <c r="O408" s="131">
        <f>+O405-O407</f>
        <v>908344.81</v>
      </c>
      <c r="P408" s="131">
        <f>+P405-P407</f>
        <v>908344.81</v>
      </c>
      <c r="Q408" s="131">
        <f>+Q405-Q407</f>
        <v>908344.81</v>
      </c>
      <c r="R408" s="123"/>
      <c r="S408" s="123"/>
      <c r="T408" s="345">
        <f>+T405-T407</f>
        <v>908344.81</v>
      </c>
      <c r="U408" s="345">
        <f>+U405-U407</f>
        <v>908344.81</v>
      </c>
      <c r="V408" s="123"/>
      <c r="W408" s="123"/>
      <c r="X408" s="345">
        <f>+X405-X407</f>
        <v>908344.81</v>
      </c>
    </row>
    <row r="409" spans="2:24" ht="15.75" thickBot="1">
      <c r="B409" s="13"/>
      <c r="C409" s="13"/>
      <c r="D409" s="13"/>
      <c r="E409" s="13"/>
      <c r="F409" s="13"/>
      <c r="G409" s="13"/>
      <c r="H409" s="160"/>
      <c r="I409" s="13"/>
      <c r="J409" s="13"/>
      <c r="Q409" s="60"/>
      <c r="T409" s="355"/>
      <c r="U409" s="347"/>
      <c r="X409" s="347"/>
    </row>
    <row r="410" spans="2:24" ht="19.5" thickBot="1">
      <c r="B410" s="142" t="s">
        <v>635</v>
      </c>
      <c r="C410" s="161"/>
      <c r="D410" s="161"/>
      <c r="E410" s="161"/>
      <c r="F410" s="161"/>
      <c r="G410" s="161"/>
      <c r="H410" s="162" t="e">
        <f>+H270+#REF!+H349+H395+H408</f>
        <v>#REF!</v>
      </c>
      <c r="I410" s="13"/>
      <c r="J410" s="13"/>
      <c r="O410" s="229">
        <f>+O270+O349+O395+O408</f>
        <v>21348848.5</v>
      </c>
      <c r="P410" s="229">
        <f>+P270+P349+P395+P408</f>
        <v>22236332.560000006</v>
      </c>
      <c r="Q410" s="76">
        <f>+Q270+Q349+Q395+Q408</f>
        <v>15728985.670000007</v>
      </c>
      <c r="T410" s="353">
        <f>+T270+T349+T395+T408</f>
        <v>12832933.419999998</v>
      </c>
      <c r="U410" s="353">
        <f>+U270+U349+U395+U408</f>
        <v>13742542.010000002</v>
      </c>
      <c r="X410" s="353">
        <f>+X270+X349+X395+X408</f>
        <v>12305742.620000005</v>
      </c>
    </row>
    <row r="411" spans="2:24" ht="19.5" thickTop="1">
      <c r="B411" s="142"/>
      <c r="C411" s="161"/>
      <c r="D411" s="161"/>
      <c r="E411" s="161"/>
      <c r="F411" s="161"/>
      <c r="G411" s="161"/>
      <c r="H411" s="142"/>
      <c r="I411" s="13"/>
      <c r="J411" s="13"/>
      <c r="U411" s="356"/>
      <c r="X411" s="356"/>
    </row>
    <row r="412" spans="2:24" ht="18.75">
      <c r="B412" s="142"/>
      <c r="C412" s="161"/>
      <c r="D412" s="161"/>
      <c r="E412" s="161"/>
      <c r="F412" s="161"/>
      <c r="G412" s="161"/>
      <c r="H412" s="142"/>
      <c r="I412" s="13"/>
      <c r="J412" s="13"/>
      <c r="U412" s="356"/>
      <c r="X412" s="356"/>
    </row>
    <row r="413" spans="2:24" ht="18.75">
      <c r="B413" s="117" t="s">
        <v>600</v>
      </c>
      <c r="C413" s="161"/>
      <c r="D413" s="161"/>
      <c r="E413" s="161"/>
      <c r="F413" s="161"/>
      <c r="G413" s="161"/>
      <c r="H413" s="142"/>
      <c r="I413" s="13"/>
      <c r="J413" s="13"/>
      <c r="U413" s="356"/>
      <c r="X413" s="356"/>
    </row>
    <row r="414" spans="1:24" ht="20.25">
      <c r="A414" s="105"/>
      <c r="B414" s="208" t="s">
        <v>130</v>
      </c>
      <c r="C414" s="21"/>
      <c r="D414" s="21"/>
      <c r="E414" s="21"/>
      <c r="F414" s="21"/>
      <c r="G414" s="21"/>
      <c r="H414" s="21"/>
      <c r="I414" s="21"/>
      <c r="J414" s="21"/>
      <c r="K414" s="163"/>
      <c r="Q414" s="249"/>
      <c r="T414" s="317">
        <v>2018</v>
      </c>
      <c r="U414" s="335">
        <v>2017</v>
      </c>
      <c r="V414" s="340"/>
      <c r="W414" s="340"/>
      <c r="X414" s="335">
        <v>2016</v>
      </c>
    </row>
    <row r="415" spans="1:24" ht="18.75">
      <c r="A415" s="105"/>
      <c r="B415" s="65" t="s">
        <v>120</v>
      </c>
      <c r="C415" s="13"/>
      <c r="D415" s="13"/>
      <c r="E415" s="13"/>
      <c r="F415" s="13"/>
      <c r="G415" s="13"/>
      <c r="H415" s="13"/>
      <c r="I415" s="21"/>
      <c r="J415" s="21"/>
      <c r="K415" s="163"/>
      <c r="O415" s="118">
        <v>2021</v>
      </c>
      <c r="P415" s="118">
        <v>2020</v>
      </c>
      <c r="Q415" s="118">
        <v>2019</v>
      </c>
      <c r="X415" s="326"/>
    </row>
    <row r="416" spans="1:24" ht="16.5">
      <c r="A416" s="105"/>
      <c r="B416" s="65" t="s">
        <v>723</v>
      </c>
      <c r="C416" s="13"/>
      <c r="D416" s="13"/>
      <c r="E416" s="13"/>
      <c r="F416" s="13"/>
      <c r="G416" s="13"/>
      <c r="H416" s="13"/>
      <c r="I416" s="21"/>
      <c r="J416" s="21"/>
      <c r="K416" s="163"/>
      <c r="X416" s="326"/>
    </row>
    <row r="417" spans="2:24" ht="16.5">
      <c r="B417" s="77"/>
      <c r="C417" s="13"/>
      <c r="D417" s="13"/>
      <c r="E417" s="13"/>
      <c r="F417" s="13"/>
      <c r="G417" s="13"/>
      <c r="H417" s="7"/>
      <c r="I417" s="7"/>
      <c r="J417" s="7"/>
      <c r="X417" s="326"/>
    </row>
    <row r="418" spans="2:24" ht="15.75">
      <c r="B418" s="65" t="s">
        <v>5</v>
      </c>
      <c r="C418" s="65"/>
      <c r="D418" s="65"/>
      <c r="E418" s="65"/>
      <c r="F418" s="65"/>
      <c r="G418" s="65"/>
      <c r="H418" s="66">
        <v>2395376.62</v>
      </c>
      <c r="I418" s="66"/>
      <c r="J418" s="66"/>
      <c r="K418" s="120"/>
      <c r="L418" s="120"/>
      <c r="M418" s="120"/>
      <c r="N418" s="120"/>
      <c r="O418" s="72">
        <v>4527856.62</v>
      </c>
      <c r="P418" s="72">
        <v>4527856.62</v>
      </c>
      <c r="Q418" s="72">
        <v>4527856.62</v>
      </c>
      <c r="R418" s="123"/>
      <c r="S418" s="123"/>
      <c r="T418" s="122">
        <v>4527856.62</v>
      </c>
      <c r="U418" s="122">
        <v>4527856.62</v>
      </c>
      <c r="V418" s="123"/>
      <c r="W418" s="123"/>
      <c r="X418" s="122">
        <v>2395376.62</v>
      </c>
    </row>
    <row r="419" spans="1:31" s="176" customFormat="1" ht="15.75">
      <c r="A419" s="176" t="s">
        <v>97</v>
      </c>
      <c r="B419" s="65" t="s">
        <v>697</v>
      </c>
      <c r="C419" s="65"/>
      <c r="D419" s="65"/>
      <c r="E419" s="65"/>
      <c r="F419" s="65"/>
      <c r="G419" s="65"/>
      <c r="H419" s="66"/>
      <c r="I419" s="66"/>
      <c r="J419" s="66"/>
      <c r="K419" s="136"/>
      <c r="L419" s="136"/>
      <c r="M419" s="136"/>
      <c r="N419" s="136"/>
      <c r="O419" s="72">
        <v>985420</v>
      </c>
      <c r="P419" s="72"/>
      <c r="Q419" s="72"/>
      <c r="R419" s="123"/>
      <c r="S419" s="123"/>
      <c r="T419" s="122"/>
      <c r="U419" s="122"/>
      <c r="V419" s="123"/>
      <c r="W419" s="123"/>
      <c r="X419" s="122"/>
      <c r="Y419" s="133"/>
      <c r="Z419" s="133"/>
      <c r="AA419" s="133"/>
      <c r="AB419" s="133"/>
      <c r="AC419" s="133"/>
      <c r="AD419" s="133"/>
      <c r="AE419" s="133"/>
    </row>
    <row r="420" spans="2:24" ht="15.75">
      <c r="B420" s="65" t="s">
        <v>42</v>
      </c>
      <c r="C420" s="65"/>
      <c r="D420" s="65"/>
      <c r="E420" s="65"/>
      <c r="F420" s="65"/>
      <c r="G420" s="65"/>
      <c r="H420" s="66">
        <v>12420190.15</v>
      </c>
      <c r="I420" s="66"/>
      <c r="J420" s="66"/>
      <c r="K420" s="120"/>
      <c r="L420" s="120"/>
      <c r="M420" s="120"/>
      <c r="N420" s="120"/>
      <c r="O420" s="72">
        <v>22861645.15</v>
      </c>
      <c r="P420" s="72">
        <v>20224690.15</v>
      </c>
      <c r="Q420" s="72">
        <v>20224690.15</v>
      </c>
      <c r="R420" s="123"/>
      <c r="S420" s="123"/>
      <c r="T420" s="122">
        <v>17156690.15</v>
      </c>
      <c r="U420" s="122">
        <v>12420190.15</v>
      </c>
      <c r="V420" s="123"/>
      <c r="W420" s="123"/>
      <c r="X420" s="122">
        <v>12420190.15</v>
      </c>
    </row>
    <row r="421" spans="2:24" ht="15.75">
      <c r="B421" s="65" t="s">
        <v>6</v>
      </c>
      <c r="C421" s="65"/>
      <c r="D421" s="65"/>
      <c r="E421" s="65"/>
      <c r="F421" s="65"/>
      <c r="G421" s="65"/>
      <c r="H421" s="67">
        <v>681521.62</v>
      </c>
      <c r="I421" s="67"/>
      <c r="J421" s="67"/>
      <c r="K421" s="120"/>
      <c r="L421" s="120"/>
      <c r="M421" s="120"/>
      <c r="N421" s="120"/>
      <c r="O421" s="72">
        <f>454409.59+227112.03</f>
        <v>681521.62</v>
      </c>
      <c r="P421" s="72">
        <f>454409.59+227112.03</f>
        <v>681521.62</v>
      </c>
      <c r="Q421" s="72">
        <v>681521.62</v>
      </c>
      <c r="R421" s="123"/>
      <c r="S421" s="123"/>
      <c r="T421" s="122">
        <v>681521.62</v>
      </c>
      <c r="U421" s="122">
        <v>681521.62</v>
      </c>
      <c r="V421" s="123"/>
      <c r="W421" s="123"/>
      <c r="X421" s="122">
        <v>681521.62</v>
      </c>
    </row>
    <row r="422" spans="2:24" ht="16.5" thickBot="1">
      <c r="B422" s="65" t="s">
        <v>725</v>
      </c>
      <c r="C422" s="65"/>
      <c r="D422" s="65"/>
      <c r="E422" s="65"/>
      <c r="F422" s="65"/>
      <c r="G422" s="65"/>
      <c r="H422" s="68">
        <v>0</v>
      </c>
      <c r="I422" s="67"/>
      <c r="J422" s="67"/>
      <c r="K422" s="120"/>
      <c r="L422" s="120"/>
      <c r="M422" s="120"/>
      <c r="N422" s="120"/>
      <c r="O422" s="73">
        <v>1987733.8</v>
      </c>
      <c r="P422" s="151"/>
      <c r="Q422" s="151"/>
      <c r="R422" s="123"/>
      <c r="S422" s="123"/>
      <c r="T422" s="351"/>
      <c r="U422" s="324"/>
      <c r="V422" s="123"/>
      <c r="W422" s="123"/>
      <c r="X422" s="324"/>
    </row>
    <row r="423" spans="2:24" ht="16.5">
      <c r="B423" s="65"/>
      <c r="C423" s="65"/>
      <c r="D423" s="65"/>
      <c r="E423" s="65"/>
      <c r="F423" s="65"/>
      <c r="G423" s="65"/>
      <c r="H423" s="74">
        <f>SUM(H418:H422)</f>
        <v>15497088.389999999</v>
      </c>
      <c r="I423" s="74"/>
      <c r="J423" s="74"/>
      <c r="K423" s="120"/>
      <c r="L423" s="120"/>
      <c r="M423" s="120"/>
      <c r="N423" s="120"/>
      <c r="O423" s="131">
        <f>SUM(O418:O422)</f>
        <v>31044177.19</v>
      </c>
      <c r="P423" s="131">
        <f>SUM(P418:P422)</f>
        <v>25434068.39</v>
      </c>
      <c r="Q423" s="131">
        <f>SUM(Q418:Q422)</f>
        <v>25434068.39</v>
      </c>
      <c r="R423" s="123"/>
      <c r="S423" s="123"/>
      <c r="T423" s="132">
        <f>SUM(T418:T422)</f>
        <v>22366068.39</v>
      </c>
      <c r="U423" s="132">
        <f>SUM(U418:U422)</f>
        <v>17629568.39</v>
      </c>
      <c r="V423" s="123"/>
      <c r="W423" s="123"/>
      <c r="X423" s="132">
        <f>SUM(X418:X422)</f>
        <v>15497088.389999999</v>
      </c>
    </row>
    <row r="424" spans="2:24" ht="15.75">
      <c r="B424" s="65" t="s">
        <v>26</v>
      </c>
      <c r="C424" s="65"/>
      <c r="D424" s="65"/>
      <c r="E424" s="65"/>
      <c r="F424" s="65"/>
      <c r="G424" s="65"/>
      <c r="H424" s="66"/>
      <c r="I424" s="66"/>
      <c r="J424" s="66"/>
      <c r="K424" s="120"/>
      <c r="L424" s="120"/>
      <c r="M424" s="120"/>
      <c r="N424" s="120"/>
      <c r="O424" s="136"/>
      <c r="P424" s="120"/>
      <c r="Q424" s="120"/>
      <c r="R424" s="123"/>
      <c r="S424" s="123"/>
      <c r="T424" s="123"/>
      <c r="U424" s="122"/>
      <c r="V424" s="123"/>
      <c r="W424" s="123"/>
      <c r="X424" s="122"/>
    </row>
    <row r="425" spans="2:24" ht="16.5" thickBot="1">
      <c r="B425" s="65" t="s">
        <v>124</v>
      </c>
      <c r="C425" s="65"/>
      <c r="D425" s="65"/>
      <c r="E425" s="65"/>
      <c r="F425" s="65"/>
      <c r="G425" s="65"/>
      <c r="H425" s="68">
        <v>14593818.61</v>
      </c>
      <c r="I425" s="67"/>
      <c r="J425" s="67"/>
      <c r="K425" s="124"/>
      <c r="L425" s="124"/>
      <c r="M425" s="124"/>
      <c r="N425" s="124"/>
      <c r="O425" s="93">
        <f>+'Depreciación Acumulada'!E91</f>
        <v>20452099.599999998</v>
      </c>
      <c r="P425" s="93">
        <f>+'Depreciación Acumulada'!F91</f>
        <v>19079434.48</v>
      </c>
      <c r="Q425" s="80">
        <f>+'Depreciación Acumulada'!G91</f>
        <v>17574744.319999997</v>
      </c>
      <c r="R425" s="318">
        <f>+Q425-P425</f>
        <v>-1504690.1600000039</v>
      </c>
      <c r="S425" s="318"/>
      <c r="T425" s="122">
        <v>16292353.49</v>
      </c>
      <c r="U425" s="122">
        <v>15009962.66</v>
      </c>
      <c r="V425" s="318"/>
      <c r="W425" s="318"/>
      <c r="X425" s="122">
        <v>14695935.98</v>
      </c>
    </row>
    <row r="426" spans="2:24" ht="17.25" thickBot="1">
      <c r="B426" s="142" t="s">
        <v>636</v>
      </c>
      <c r="C426" s="65"/>
      <c r="D426" s="65"/>
      <c r="E426" s="65"/>
      <c r="F426" s="65"/>
      <c r="G426" s="65"/>
      <c r="H426" s="76">
        <f>+H423-H425</f>
        <v>903269.7799999993</v>
      </c>
      <c r="I426" s="77"/>
      <c r="J426" s="77"/>
      <c r="K426" s="120"/>
      <c r="L426" s="120"/>
      <c r="M426" s="120"/>
      <c r="N426" s="120"/>
      <c r="O426" s="229">
        <f>+O423-O425</f>
        <v>10592077.590000004</v>
      </c>
      <c r="P426" s="229">
        <f>+P423-P425</f>
        <v>6354633.91</v>
      </c>
      <c r="Q426" s="229">
        <f>+Q423-Q425</f>
        <v>7859324.070000004</v>
      </c>
      <c r="R426" s="123"/>
      <c r="S426" s="123"/>
      <c r="T426" s="353">
        <f>+T423-T425</f>
        <v>6073714.9</v>
      </c>
      <c r="U426" s="353">
        <f>+U423-U425</f>
        <v>2619605.7300000004</v>
      </c>
      <c r="V426" s="123"/>
      <c r="W426" s="123"/>
      <c r="X426" s="353">
        <f>+X423-X425</f>
        <v>801152.4099999983</v>
      </c>
    </row>
    <row r="427" spans="1:25" ht="19.5" thickTop="1">
      <c r="A427" s="57"/>
      <c r="B427" s="142"/>
      <c r="C427" s="161"/>
      <c r="D427" s="161"/>
      <c r="E427" s="161"/>
      <c r="F427" s="161"/>
      <c r="G427" s="161"/>
      <c r="H427" s="142"/>
      <c r="I427" s="164"/>
      <c r="J427" s="164"/>
      <c r="K427" s="57"/>
      <c r="L427" s="57"/>
      <c r="M427" s="57"/>
      <c r="N427" s="57"/>
      <c r="O427" s="58"/>
      <c r="P427" s="80"/>
      <c r="Q427" s="57"/>
      <c r="R427" s="357"/>
      <c r="S427" s="357"/>
      <c r="T427" s="357"/>
      <c r="U427" s="356"/>
      <c r="V427" s="357"/>
      <c r="W427" s="357"/>
      <c r="X427" s="356"/>
      <c r="Y427" s="357"/>
    </row>
    <row r="428" spans="1:31" s="176" customFormat="1" ht="18.75">
      <c r="A428" s="58"/>
      <c r="B428" s="198" t="s">
        <v>959</v>
      </c>
      <c r="C428" s="161"/>
      <c r="D428" s="161"/>
      <c r="E428" s="161"/>
      <c r="F428" s="161"/>
      <c r="G428" s="161"/>
      <c r="H428" s="142"/>
      <c r="I428" s="164"/>
      <c r="J428" s="164"/>
      <c r="K428" s="58"/>
      <c r="L428" s="58"/>
      <c r="M428" s="58"/>
      <c r="N428" s="58"/>
      <c r="O428" s="58"/>
      <c r="P428" s="254"/>
      <c r="Q428" s="58"/>
      <c r="R428" s="357"/>
      <c r="S428" s="357"/>
      <c r="T428" s="357"/>
      <c r="U428" s="356"/>
      <c r="V428" s="357"/>
      <c r="W428" s="357"/>
      <c r="X428" s="356"/>
      <c r="Y428" s="357"/>
      <c r="Z428" s="133"/>
      <c r="AA428" s="133"/>
      <c r="AB428" s="133"/>
      <c r="AC428" s="133"/>
      <c r="AD428" s="133"/>
      <c r="AE428" s="133"/>
    </row>
    <row r="429" spans="1:31" s="176" customFormat="1" ht="18.75">
      <c r="A429" s="58"/>
      <c r="B429" s="142" t="s">
        <v>960</v>
      </c>
      <c r="C429" s="161"/>
      <c r="D429" s="161"/>
      <c r="E429" s="161"/>
      <c r="F429" s="161"/>
      <c r="G429" s="161"/>
      <c r="H429" s="142"/>
      <c r="I429" s="164"/>
      <c r="J429" s="164"/>
      <c r="K429" s="58"/>
      <c r="L429" s="58"/>
      <c r="M429" s="58"/>
      <c r="N429" s="58"/>
      <c r="O429" s="58"/>
      <c r="P429" s="254"/>
      <c r="Q429" s="58"/>
      <c r="R429" s="357"/>
      <c r="S429" s="357"/>
      <c r="T429" s="357"/>
      <c r="U429" s="356"/>
      <c r="V429" s="357"/>
      <c r="W429" s="357"/>
      <c r="X429" s="356"/>
      <c r="Y429" s="357"/>
      <c r="Z429" s="133"/>
      <c r="AA429" s="133"/>
      <c r="AB429" s="133"/>
      <c r="AC429" s="133"/>
      <c r="AD429" s="133"/>
      <c r="AE429" s="133"/>
    </row>
    <row r="430" spans="1:31" s="176" customFormat="1" ht="18.75">
      <c r="A430" s="58"/>
      <c r="B430" s="142"/>
      <c r="C430" s="161"/>
      <c r="D430" s="161"/>
      <c r="E430" s="161"/>
      <c r="F430" s="161"/>
      <c r="G430" s="161"/>
      <c r="H430" s="142"/>
      <c r="I430" s="164"/>
      <c r="J430" s="164"/>
      <c r="K430" s="58"/>
      <c r="L430" s="58"/>
      <c r="M430" s="58"/>
      <c r="N430" s="58"/>
      <c r="O430" s="58"/>
      <c r="P430" s="254"/>
      <c r="Q430" s="58"/>
      <c r="R430" s="357"/>
      <c r="S430" s="357"/>
      <c r="T430" s="357"/>
      <c r="U430" s="356"/>
      <c r="V430" s="357"/>
      <c r="W430" s="357"/>
      <c r="X430" s="356"/>
      <c r="Y430" s="357"/>
      <c r="Z430" s="133"/>
      <c r="AA430" s="133"/>
      <c r="AB430" s="133"/>
      <c r="AC430" s="133"/>
      <c r="AD430" s="133"/>
      <c r="AE430" s="133"/>
    </row>
    <row r="431" spans="2:24" ht="18.75">
      <c r="B431" s="117" t="s">
        <v>600</v>
      </c>
      <c r="C431" s="139"/>
      <c r="D431" s="13"/>
      <c r="E431" s="13"/>
      <c r="F431" s="13"/>
      <c r="G431" s="13"/>
      <c r="H431" s="13"/>
      <c r="I431" s="13"/>
      <c r="J431" s="13"/>
      <c r="P431" s="80"/>
      <c r="X431" s="326"/>
    </row>
    <row r="432" spans="2:24" ht="20.25">
      <c r="B432" s="208" t="s">
        <v>21</v>
      </c>
      <c r="C432" s="139"/>
      <c r="D432" s="13"/>
      <c r="E432" s="13"/>
      <c r="F432" s="13"/>
      <c r="G432" s="13"/>
      <c r="H432" s="13"/>
      <c r="I432" s="13"/>
      <c r="J432" s="13"/>
      <c r="X432" s="326"/>
    </row>
    <row r="433" spans="2:24" ht="16.5">
      <c r="B433" s="77" t="s">
        <v>684</v>
      </c>
      <c r="C433" s="10"/>
      <c r="D433" s="10"/>
      <c r="E433" s="10"/>
      <c r="F433" s="10"/>
      <c r="G433" s="10"/>
      <c r="H433" s="10"/>
      <c r="I433" s="10"/>
      <c r="J433" s="10"/>
      <c r="K433" s="6"/>
      <c r="L433"/>
      <c r="M433"/>
      <c r="N433"/>
      <c r="O433" s="5"/>
      <c r="P433"/>
      <c r="Q433"/>
      <c r="R433" s="216"/>
      <c r="S433" s="216"/>
      <c r="T433" s="216"/>
      <c r="U433" s="358"/>
      <c r="V433" s="216"/>
      <c r="X433" s="326"/>
    </row>
    <row r="434" spans="1:24" ht="15" customHeight="1">
      <c r="A434" s="176"/>
      <c r="B434" s="77" t="s">
        <v>685</v>
      </c>
      <c r="C434" s="10"/>
      <c r="D434" s="10"/>
      <c r="E434" s="10"/>
      <c r="F434" s="10"/>
      <c r="G434" s="10"/>
      <c r="H434" s="10"/>
      <c r="I434" s="10"/>
      <c r="J434" s="10"/>
      <c r="K434" s="6"/>
      <c r="L434"/>
      <c r="M434"/>
      <c r="N434"/>
      <c r="O434" s="5"/>
      <c r="P434"/>
      <c r="Q434"/>
      <c r="R434" s="216"/>
      <c r="S434" s="216"/>
      <c r="T434" s="216"/>
      <c r="U434" s="358"/>
      <c r="V434" s="216"/>
      <c r="X434" s="326"/>
    </row>
    <row r="435" spans="2:24" ht="16.5">
      <c r="B435" s="77" t="s">
        <v>686</v>
      </c>
      <c r="C435" s="10"/>
      <c r="D435" s="10"/>
      <c r="E435" s="10"/>
      <c r="F435" s="10"/>
      <c r="G435" s="10"/>
      <c r="H435" s="10"/>
      <c r="I435" s="10"/>
      <c r="J435" s="10"/>
      <c r="K435" s="6"/>
      <c r="L435"/>
      <c r="M435"/>
      <c r="N435"/>
      <c r="O435" s="5"/>
      <c r="P435"/>
      <c r="Q435"/>
      <c r="R435" s="216"/>
      <c r="S435" s="216"/>
      <c r="T435" s="216"/>
      <c r="U435" s="358"/>
      <c r="V435" s="216"/>
      <c r="X435" s="326"/>
    </row>
    <row r="436" spans="2:24" ht="16.5">
      <c r="B436" s="245" t="s">
        <v>726</v>
      </c>
      <c r="C436" s="65"/>
      <c r="D436" s="65"/>
      <c r="E436" s="65"/>
      <c r="F436" s="65"/>
      <c r="G436" s="65"/>
      <c r="H436" s="65"/>
      <c r="I436" s="65"/>
      <c r="J436" s="13"/>
      <c r="X436" s="326"/>
    </row>
    <row r="437" spans="2:31" s="176" customFormat="1" ht="16.5">
      <c r="B437" s="245" t="s">
        <v>727</v>
      </c>
      <c r="C437" s="65"/>
      <c r="D437" s="65"/>
      <c r="E437" s="65"/>
      <c r="F437" s="65"/>
      <c r="G437" s="65"/>
      <c r="H437" s="65"/>
      <c r="I437" s="65"/>
      <c r="J437" s="13"/>
      <c r="R437" s="133"/>
      <c r="S437" s="133"/>
      <c r="T437" s="133"/>
      <c r="U437" s="133"/>
      <c r="V437" s="133"/>
      <c r="W437" s="133"/>
      <c r="X437" s="326"/>
      <c r="Y437" s="133"/>
      <c r="Z437" s="133"/>
      <c r="AA437" s="133"/>
      <c r="AB437" s="133"/>
      <c r="AC437" s="133"/>
      <c r="AD437" s="133"/>
      <c r="AE437" s="133"/>
    </row>
    <row r="438" spans="2:31" s="176" customFormat="1" ht="16.5">
      <c r="B438" s="245" t="s">
        <v>728</v>
      </c>
      <c r="C438" s="65"/>
      <c r="D438" s="65"/>
      <c r="E438" s="65"/>
      <c r="F438" s="65"/>
      <c r="G438" s="65"/>
      <c r="H438" s="65"/>
      <c r="I438" s="65"/>
      <c r="J438" s="13"/>
      <c r="R438" s="133"/>
      <c r="S438" s="133"/>
      <c r="T438" s="133"/>
      <c r="U438" s="133"/>
      <c r="V438" s="133"/>
      <c r="W438" s="133"/>
      <c r="X438" s="326"/>
      <c r="Y438" s="133"/>
      <c r="Z438" s="133"/>
      <c r="AA438" s="133"/>
      <c r="AB438" s="133"/>
      <c r="AC438" s="133"/>
      <c r="AD438" s="133"/>
      <c r="AE438" s="133"/>
    </row>
    <row r="439" spans="2:24" ht="15.75">
      <c r="B439" s="65" t="s">
        <v>151</v>
      </c>
      <c r="C439" s="13"/>
      <c r="D439" s="13"/>
      <c r="E439" s="13"/>
      <c r="F439" s="13"/>
      <c r="G439" s="13"/>
      <c r="H439" s="13"/>
      <c r="I439" s="13"/>
      <c r="J439" s="13"/>
      <c r="X439" s="326"/>
    </row>
    <row r="440" spans="2:24" ht="15">
      <c r="B440" s="13"/>
      <c r="C440" s="13"/>
      <c r="D440" s="13"/>
      <c r="E440" s="13"/>
      <c r="F440" s="13"/>
      <c r="G440" s="13"/>
      <c r="H440" s="13"/>
      <c r="I440" s="13"/>
      <c r="J440" s="13"/>
      <c r="O440" s="494" t="s">
        <v>665</v>
      </c>
      <c r="P440" s="494"/>
      <c r="Q440" s="246"/>
      <c r="X440" s="326"/>
    </row>
    <row r="441" spans="2:24" ht="18.75">
      <c r="B441" s="117" t="s">
        <v>21</v>
      </c>
      <c r="C441" s="13"/>
      <c r="D441" s="13"/>
      <c r="E441" s="13"/>
      <c r="F441" s="13"/>
      <c r="G441" s="13"/>
      <c r="H441" s="13"/>
      <c r="I441" s="13"/>
      <c r="J441" s="13"/>
      <c r="O441" s="118">
        <v>2021</v>
      </c>
      <c r="P441" s="118">
        <v>2020</v>
      </c>
      <c r="Q441" s="118">
        <v>2019</v>
      </c>
      <c r="T441" s="317">
        <v>2018</v>
      </c>
      <c r="U441" s="335">
        <v>2017</v>
      </c>
      <c r="V441" s="340"/>
      <c r="W441" s="340"/>
      <c r="X441" s="335">
        <v>2016</v>
      </c>
    </row>
    <row r="442" spans="2:24" ht="15.75">
      <c r="B442" s="65" t="s">
        <v>152</v>
      </c>
      <c r="C442" s="65"/>
      <c r="D442" s="65"/>
      <c r="E442" s="65"/>
      <c r="F442" s="65"/>
      <c r="G442" s="65"/>
      <c r="H442" s="66">
        <v>140344160.53</v>
      </c>
      <c r="I442" s="66"/>
      <c r="J442" s="66"/>
      <c r="K442" s="120"/>
      <c r="L442" s="120"/>
      <c r="M442" s="120"/>
      <c r="N442" s="120"/>
      <c r="O442" s="149">
        <v>148391678.17</v>
      </c>
      <c r="P442" s="149">
        <v>150379411.97</v>
      </c>
      <c r="Q442" s="80">
        <v>148931698.06</v>
      </c>
      <c r="R442" s="123"/>
      <c r="S442" s="123"/>
      <c r="T442" s="122">
        <f>145447736.92+1987733.88</f>
        <v>147435470.79999998</v>
      </c>
      <c r="U442" s="122">
        <v>145381892.93</v>
      </c>
      <c r="V442" s="123"/>
      <c r="W442" s="123"/>
      <c r="X442" s="122">
        <v>140344160.53</v>
      </c>
    </row>
    <row r="443" spans="2:24" ht="16.5">
      <c r="B443" s="77" t="s">
        <v>26</v>
      </c>
      <c r="C443" s="65"/>
      <c r="D443" s="65"/>
      <c r="E443" s="65"/>
      <c r="F443" s="65"/>
      <c r="G443" s="65"/>
      <c r="H443" s="66"/>
      <c r="I443" s="66"/>
      <c r="J443" s="66"/>
      <c r="K443" s="120"/>
      <c r="L443" s="120"/>
      <c r="M443" s="120"/>
      <c r="N443" s="120"/>
      <c r="O443" s="226"/>
      <c r="P443" s="120"/>
      <c r="Q443" s="120"/>
      <c r="R443" s="123"/>
      <c r="S443" s="123"/>
      <c r="T443" s="123"/>
      <c r="U443" s="122"/>
      <c r="V443" s="123"/>
      <c r="W443" s="123"/>
      <c r="X443" s="122"/>
    </row>
    <row r="444" spans="2:24" ht="16.5" thickBot="1">
      <c r="B444" s="65" t="s">
        <v>153</v>
      </c>
      <c r="C444" s="65"/>
      <c r="D444" s="65"/>
      <c r="E444" s="65"/>
      <c r="F444" s="65"/>
      <c r="G444" s="65"/>
      <c r="H444" s="67">
        <v>38219130.13</v>
      </c>
      <c r="I444" s="67"/>
      <c r="J444" s="67"/>
      <c r="K444" s="120"/>
      <c r="L444" s="120"/>
      <c r="M444" s="120"/>
      <c r="N444" s="120"/>
      <c r="O444" s="226">
        <v>72025953.56</v>
      </c>
      <c r="P444" s="80">
        <v>66285404.12</v>
      </c>
      <c r="Q444" s="80">
        <v>60423177.78</v>
      </c>
      <c r="R444" s="123"/>
      <c r="S444" s="123"/>
      <c r="T444" s="122">
        <v>54563364.25</v>
      </c>
      <c r="U444" s="122">
        <v>48739493.29</v>
      </c>
      <c r="V444" s="123"/>
      <c r="W444" s="123"/>
      <c r="X444" s="122">
        <v>42950613.13</v>
      </c>
    </row>
    <row r="445" spans="2:24" ht="19.5" thickBot="1">
      <c r="B445" s="117" t="s">
        <v>148</v>
      </c>
      <c r="C445" s="65"/>
      <c r="D445" s="65"/>
      <c r="E445" s="65"/>
      <c r="F445" s="65"/>
      <c r="G445" s="65"/>
      <c r="H445" s="71">
        <f>+H442-H444</f>
        <v>102125030.4</v>
      </c>
      <c r="I445" s="78"/>
      <c r="J445" s="78"/>
      <c r="K445" s="120"/>
      <c r="L445" s="120"/>
      <c r="M445" s="120"/>
      <c r="N445" s="120"/>
      <c r="O445" s="229">
        <f>++O442-O444</f>
        <v>76365724.60999998</v>
      </c>
      <c r="P445" s="229">
        <f>+P442-P444</f>
        <v>84094007.85</v>
      </c>
      <c r="Q445" s="229">
        <f>+Q442-Q444</f>
        <v>88508520.28</v>
      </c>
      <c r="R445" s="123"/>
      <c r="S445" s="123"/>
      <c r="T445" s="341">
        <f>+T442-T444</f>
        <v>92872106.54999998</v>
      </c>
      <c r="U445" s="341">
        <f>+U442-U444</f>
        <v>96642399.64000002</v>
      </c>
      <c r="V445" s="123"/>
      <c r="W445" s="123"/>
      <c r="X445" s="341">
        <f>+X442-X444</f>
        <v>97393547.4</v>
      </c>
    </row>
    <row r="446" spans="2:24" ht="16.5" hidden="1" thickTop="1">
      <c r="B446" s="65"/>
      <c r="C446" s="65"/>
      <c r="D446" s="65"/>
      <c r="E446" s="65"/>
      <c r="F446" s="65"/>
      <c r="G446" s="65"/>
      <c r="H446" s="66"/>
      <c r="I446" s="66"/>
      <c r="J446" s="66"/>
      <c r="K446" s="120"/>
      <c r="L446" s="120"/>
      <c r="M446" s="120"/>
      <c r="N446" s="120"/>
      <c r="O446" s="136"/>
      <c r="P446" s="120"/>
      <c r="Q446" s="120"/>
      <c r="R446" s="123"/>
      <c r="S446" s="123"/>
      <c r="T446" s="123"/>
      <c r="U446" s="123"/>
      <c r="V446" s="123"/>
      <c r="W446" s="123"/>
      <c r="X446" s="122"/>
    </row>
    <row r="447" spans="2:24" ht="15" hidden="1">
      <c r="B447" s="13"/>
      <c r="C447" s="13"/>
      <c r="D447" s="13"/>
      <c r="E447" s="13"/>
      <c r="F447" s="13"/>
      <c r="G447" s="13"/>
      <c r="H447" s="7"/>
      <c r="I447" s="7"/>
      <c r="J447" s="7"/>
      <c r="X447" s="326"/>
    </row>
    <row r="448" spans="2:24" ht="17.25" thickTop="1">
      <c r="B448" s="77"/>
      <c r="C448" s="13"/>
      <c r="D448" s="13"/>
      <c r="E448" s="13"/>
      <c r="F448" s="13"/>
      <c r="G448" s="13"/>
      <c r="H448" s="7"/>
      <c r="I448" s="7"/>
      <c r="J448" s="7"/>
      <c r="X448" s="326"/>
    </row>
    <row r="449" spans="2:31" s="176" customFormat="1" ht="18.75">
      <c r="B449" s="117" t="s">
        <v>637</v>
      </c>
      <c r="C449" s="13"/>
      <c r="D449" s="13"/>
      <c r="E449" s="13"/>
      <c r="F449" s="13"/>
      <c r="G449" s="13"/>
      <c r="H449" s="7"/>
      <c r="I449" s="7"/>
      <c r="J449" s="7"/>
      <c r="R449" s="133"/>
      <c r="S449" s="133"/>
      <c r="T449" s="133"/>
      <c r="U449" s="133"/>
      <c r="V449" s="133"/>
      <c r="W449" s="133"/>
      <c r="X449" s="326"/>
      <c r="Y449" s="133"/>
      <c r="Z449" s="133"/>
      <c r="AA449" s="133"/>
      <c r="AB449" s="133"/>
      <c r="AC449" s="133"/>
      <c r="AD449" s="133"/>
      <c r="AE449" s="133"/>
    </row>
    <row r="450" spans="2:24" ht="20.25">
      <c r="B450" s="208" t="s">
        <v>22</v>
      </c>
      <c r="C450" s="13"/>
      <c r="D450" s="13"/>
      <c r="E450" s="13"/>
      <c r="F450" s="13"/>
      <c r="G450" s="13"/>
      <c r="H450" s="7"/>
      <c r="I450" s="7"/>
      <c r="J450" s="7"/>
      <c r="X450" s="326"/>
    </row>
    <row r="451" spans="2:24" ht="15.75">
      <c r="B451" s="65" t="s">
        <v>729</v>
      </c>
      <c r="C451" s="13"/>
      <c r="D451" s="13"/>
      <c r="E451" s="13"/>
      <c r="F451" s="13"/>
      <c r="G451" s="13"/>
      <c r="H451" s="7"/>
      <c r="I451" s="7"/>
      <c r="J451" s="7"/>
      <c r="X451" s="326"/>
    </row>
    <row r="452" spans="2:24" ht="15.75">
      <c r="B452" s="65" t="s">
        <v>154</v>
      </c>
      <c r="C452" s="13"/>
      <c r="D452" s="13"/>
      <c r="E452" s="13"/>
      <c r="F452" s="13"/>
      <c r="G452" s="13"/>
      <c r="H452" s="7"/>
      <c r="I452" s="7"/>
      <c r="J452" s="7"/>
      <c r="X452" s="326"/>
    </row>
    <row r="453" spans="2:24" ht="15.75">
      <c r="B453" s="65" t="s">
        <v>155</v>
      </c>
      <c r="C453" s="13"/>
      <c r="D453" s="13"/>
      <c r="E453" s="13"/>
      <c r="F453" s="13"/>
      <c r="G453" s="13"/>
      <c r="H453" s="7"/>
      <c r="I453" s="7"/>
      <c r="J453" s="7"/>
      <c r="X453" s="326"/>
    </row>
    <row r="454" spans="2:24" ht="15.75">
      <c r="B454" s="65"/>
      <c r="C454" s="13"/>
      <c r="D454" s="13"/>
      <c r="E454" s="13"/>
      <c r="F454" s="13"/>
      <c r="G454" s="13"/>
      <c r="H454" s="7"/>
      <c r="I454" s="7"/>
      <c r="J454" s="7"/>
      <c r="O454" s="494" t="s">
        <v>665</v>
      </c>
      <c r="P454" s="494"/>
      <c r="Q454" s="249"/>
      <c r="X454" s="326"/>
    </row>
    <row r="455" spans="2:24" ht="18.75">
      <c r="B455" s="117" t="s">
        <v>22</v>
      </c>
      <c r="C455" s="13"/>
      <c r="D455" s="13"/>
      <c r="E455" s="13"/>
      <c r="F455" s="13"/>
      <c r="G455" s="13"/>
      <c r="H455" s="13"/>
      <c r="I455" s="13"/>
      <c r="J455" s="13"/>
      <c r="O455" s="118">
        <v>2021</v>
      </c>
      <c r="P455" s="118">
        <v>2020</v>
      </c>
      <c r="Q455" s="118">
        <v>2019</v>
      </c>
      <c r="T455" s="317">
        <v>2018</v>
      </c>
      <c r="U455" s="335">
        <v>2017</v>
      </c>
      <c r="V455" s="340"/>
      <c r="W455" s="340"/>
      <c r="X455" s="335">
        <v>2016</v>
      </c>
    </row>
    <row r="456" spans="2:24" ht="15.75">
      <c r="B456" s="65" t="s">
        <v>156</v>
      </c>
      <c r="C456" s="65"/>
      <c r="D456" s="65"/>
      <c r="E456" s="65"/>
      <c r="F456" s="65"/>
      <c r="G456" s="65"/>
      <c r="H456" s="66">
        <v>49805</v>
      </c>
      <c r="I456" s="66"/>
      <c r="J456" s="66"/>
      <c r="K456" s="120"/>
      <c r="L456" s="120"/>
      <c r="M456" s="120"/>
      <c r="N456" s="120"/>
      <c r="O456" s="72">
        <v>49805</v>
      </c>
      <c r="P456" s="72">
        <v>49805</v>
      </c>
      <c r="Q456" s="72">
        <v>49805</v>
      </c>
      <c r="R456" s="123"/>
      <c r="S456" s="123"/>
      <c r="T456" s="122">
        <v>49805</v>
      </c>
      <c r="U456" s="122">
        <v>49805</v>
      </c>
      <c r="V456" s="123"/>
      <c r="W456" s="123"/>
      <c r="X456" s="122">
        <v>49805</v>
      </c>
    </row>
    <row r="457" spans="1:24" ht="15.75">
      <c r="A457" s="176" t="s">
        <v>97</v>
      </c>
      <c r="B457" s="65" t="s">
        <v>157</v>
      </c>
      <c r="C457" s="65"/>
      <c r="D457" s="65"/>
      <c r="E457" s="65"/>
      <c r="F457" s="65"/>
      <c r="G457" s="65"/>
      <c r="H457" s="66">
        <v>9352897.54</v>
      </c>
      <c r="I457" s="66"/>
      <c r="J457" s="66"/>
      <c r="K457" s="120"/>
      <c r="L457" s="120"/>
      <c r="M457" s="120"/>
      <c r="N457" s="120"/>
      <c r="O457" s="226">
        <v>0</v>
      </c>
      <c r="P457" s="80">
        <v>12033349.5</v>
      </c>
      <c r="Q457" s="80">
        <v>11012996.04</v>
      </c>
      <c r="R457" s="123"/>
      <c r="S457" s="123"/>
      <c r="T457" s="122">
        <v>10828916.04</v>
      </c>
      <c r="U457" s="122">
        <v>10000435.45</v>
      </c>
      <c r="V457" s="123"/>
      <c r="W457" s="123"/>
      <c r="X457" s="122">
        <v>9698345.72</v>
      </c>
    </row>
    <row r="458" spans="2:24" ht="15.75">
      <c r="B458" s="65" t="s">
        <v>146</v>
      </c>
      <c r="C458" s="65"/>
      <c r="D458" s="65"/>
      <c r="E458" s="65"/>
      <c r="F458" s="65"/>
      <c r="G458" s="65"/>
      <c r="H458" s="66">
        <v>965181.39</v>
      </c>
      <c r="I458" s="66"/>
      <c r="J458" s="66"/>
      <c r="K458" s="120"/>
      <c r="L458" s="120"/>
      <c r="M458" s="120"/>
      <c r="N458" s="120"/>
      <c r="O458" s="72">
        <v>965181.39</v>
      </c>
      <c r="P458" s="72">
        <v>965181.39</v>
      </c>
      <c r="Q458" s="72">
        <v>965181.39</v>
      </c>
      <c r="R458" s="123"/>
      <c r="S458" s="123"/>
      <c r="T458" s="122">
        <v>965181.39</v>
      </c>
      <c r="U458" s="122">
        <v>965181.39</v>
      </c>
      <c r="V458" s="123" t="s">
        <v>607</v>
      </c>
      <c r="W458" s="123"/>
      <c r="X458" s="122"/>
    </row>
    <row r="459" spans="2:24" ht="15.75">
      <c r="B459" s="65" t="s">
        <v>158</v>
      </c>
      <c r="C459" s="65"/>
      <c r="D459" s="65"/>
      <c r="E459" s="65"/>
      <c r="F459" s="65"/>
      <c r="G459" s="65"/>
      <c r="H459" s="66">
        <f>6007285.94</f>
        <v>6007285.94</v>
      </c>
      <c r="I459" s="66"/>
      <c r="J459" s="66"/>
      <c r="K459" s="120"/>
      <c r="L459" s="120"/>
      <c r="M459" s="120"/>
      <c r="N459" s="120"/>
      <c r="O459" s="226">
        <v>6007285.94</v>
      </c>
      <c r="P459" s="80">
        <v>6007285.94</v>
      </c>
      <c r="Q459" s="80">
        <v>6007285.94</v>
      </c>
      <c r="R459" s="123"/>
      <c r="S459" s="123"/>
      <c r="T459" s="122">
        <v>6007285.94</v>
      </c>
      <c r="U459" s="122">
        <v>6007285.94</v>
      </c>
      <c r="V459" s="123"/>
      <c r="W459" s="123"/>
      <c r="X459" s="122">
        <v>6007285.94</v>
      </c>
    </row>
    <row r="460" spans="2:24" ht="15.75">
      <c r="B460" s="65" t="s">
        <v>159</v>
      </c>
      <c r="C460" s="65"/>
      <c r="D460" s="65"/>
      <c r="E460" s="65"/>
      <c r="F460" s="65"/>
      <c r="G460" s="65"/>
      <c r="H460" s="66">
        <v>979984.81</v>
      </c>
      <c r="I460" s="66"/>
      <c r="J460" s="66"/>
      <c r="K460" s="120"/>
      <c r="L460" s="120"/>
      <c r="M460" s="120"/>
      <c r="N460" s="120"/>
      <c r="O460" s="226">
        <v>979984.81</v>
      </c>
      <c r="P460" s="80">
        <v>979984.81</v>
      </c>
      <c r="Q460" s="80">
        <v>979984.81</v>
      </c>
      <c r="R460" s="123"/>
      <c r="S460" s="123"/>
      <c r="T460" s="122">
        <v>979984.81</v>
      </c>
      <c r="U460" s="122">
        <v>979984.81</v>
      </c>
      <c r="V460" s="123"/>
      <c r="W460" s="123"/>
      <c r="X460" s="122">
        <v>979984.81</v>
      </c>
    </row>
    <row r="461" spans="2:24" ht="15.75">
      <c r="B461" s="65" t="s">
        <v>549</v>
      </c>
      <c r="C461" s="65"/>
      <c r="D461" s="65"/>
      <c r="E461" s="65"/>
      <c r="F461" s="65"/>
      <c r="G461" s="65"/>
      <c r="H461" s="66">
        <v>3037938.1</v>
      </c>
      <c r="I461" s="66"/>
      <c r="J461" s="66"/>
      <c r="K461" s="120"/>
      <c r="L461" s="120"/>
      <c r="M461" s="120"/>
      <c r="N461" s="120"/>
      <c r="O461" s="226">
        <v>3037938.1</v>
      </c>
      <c r="P461" s="80">
        <v>3037938.1</v>
      </c>
      <c r="Q461" s="80">
        <v>3037938.1</v>
      </c>
      <c r="R461" s="123"/>
      <c r="S461" s="123"/>
      <c r="T461" s="122">
        <v>3037938.1</v>
      </c>
      <c r="U461" s="122">
        <v>3037938.1</v>
      </c>
      <c r="V461" s="123"/>
      <c r="W461" s="123"/>
      <c r="X461" s="122">
        <v>3037938.1</v>
      </c>
    </row>
    <row r="462" spans="2:24" ht="15.75">
      <c r="B462" s="65" t="s">
        <v>160</v>
      </c>
      <c r="C462" s="65"/>
      <c r="D462" s="65"/>
      <c r="E462" s="65"/>
      <c r="F462" s="65"/>
      <c r="G462" s="65"/>
      <c r="H462" s="66">
        <v>1856898.48</v>
      </c>
      <c r="I462" s="66"/>
      <c r="J462" s="66"/>
      <c r="K462" s="120"/>
      <c r="L462" s="120"/>
      <c r="M462" s="120"/>
      <c r="N462" s="120"/>
      <c r="O462" s="226">
        <v>1947.51</v>
      </c>
      <c r="P462" s="80">
        <v>1947.51</v>
      </c>
      <c r="Q462" s="80">
        <v>1856898.48</v>
      </c>
      <c r="R462" s="123"/>
      <c r="S462" s="123"/>
      <c r="T462" s="122">
        <v>1856898.48</v>
      </c>
      <c r="U462" s="122">
        <v>1856898.48</v>
      </c>
      <c r="V462" s="123"/>
      <c r="W462" s="123"/>
      <c r="X462" s="122">
        <v>1856898.48</v>
      </c>
    </row>
    <row r="463" spans="2:24" ht="15.75">
      <c r="B463" s="65" t="s">
        <v>161</v>
      </c>
      <c r="C463" s="65"/>
      <c r="D463" s="65"/>
      <c r="E463" s="65"/>
      <c r="F463" s="65"/>
      <c r="G463" s="65"/>
      <c r="H463" s="66">
        <v>10268276.4</v>
      </c>
      <c r="I463" s="66"/>
      <c r="J463" s="66"/>
      <c r="K463" s="120"/>
      <c r="L463" s="120"/>
      <c r="M463" s="120"/>
      <c r="N463" s="120"/>
      <c r="O463" s="226">
        <v>11412715.82</v>
      </c>
      <c r="P463" s="80">
        <v>11234852.3</v>
      </c>
      <c r="Q463" s="80">
        <v>11234852.3</v>
      </c>
      <c r="R463" s="123"/>
      <c r="S463" s="123"/>
      <c r="T463" s="122">
        <v>10268276.4</v>
      </c>
      <c r="U463" s="122">
        <v>10268276.4</v>
      </c>
      <c r="V463" s="123"/>
      <c r="W463" s="123"/>
      <c r="X463" s="122">
        <v>10268276.4</v>
      </c>
    </row>
    <row r="464" spans="2:24" ht="15.75">
      <c r="B464" s="65" t="s">
        <v>162</v>
      </c>
      <c r="C464" s="65"/>
      <c r="D464" s="65"/>
      <c r="E464" s="65"/>
      <c r="F464" s="65"/>
      <c r="G464" s="65"/>
      <c r="H464" s="66">
        <v>4947255.08</v>
      </c>
      <c r="I464" s="66"/>
      <c r="J464" s="66"/>
      <c r="K464" s="120"/>
      <c r="L464" s="120"/>
      <c r="M464" s="120"/>
      <c r="N464" s="120"/>
      <c r="O464" s="226">
        <v>4947255.08</v>
      </c>
      <c r="P464" s="80">
        <v>4947255.08</v>
      </c>
      <c r="Q464" s="80">
        <v>4947255.08</v>
      </c>
      <c r="R464" s="123"/>
      <c r="S464" s="123"/>
      <c r="T464" s="122">
        <v>4947255.08</v>
      </c>
      <c r="U464" s="122">
        <v>4947255.08</v>
      </c>
      <c r="V464" s="123"/>
      <c r="W464" s="123"/>
      <c r="X464" s="122">
        <v>4947255.08</v>
      </c>
    </row>
    <row r="465" spans="2:24" ht="15.75">
      <c r="B465" s="65" t="s">
        <v>163</v>
      </c>
      <c r="C465" s="65"/>
      <c r="D465" s="65"/>
      <c r="E465" s="65"/>
      <c r="F465" s="65"/>
      <c r="G465" s="65"/>
      <c r="H465" s="66">
        <v>654796.8</v>
      </c>
      <c r="I465" s="66"/>
      <c r="J465" s="66"/>
      <c r="K465" s="120"/>
      <c r="L465" s="120"/>
      <c r="M465" s="120"/>
      <c r="N465" s="120"/>
      <c r="O465" s="226">
        <v>654796.8</v>
      </c>
      <c r="P465" s="80">
        <v>654796.8</v>
      </c>
      <c r="Q465" s="80">
        <v>654796.8</v>
      </c>
      <c r="R465" s="123"/>
      <c r="S465" s="123"/>
      <c r="T465" s="122">
        <v>654796.8</v>
      </c>
      <c r="U465" s="122">
        <v>654796.8</v>
      </c>
      <c r="V465" s="123"/>
      <c r="W465" s="123"/>
      <c r="X465" s="122">
        <v>654796.8</v>
      </c>
    </row>
    <row r="466" spans="2:24" ht="15.75">
      <c r="B466" s="65" t="s">
        <v>608</v>
      </c>
      <c r="C466" s="65"/>
      <c r="D466" s="65"/>
      <c r="E466" s="65"/>
      <c r="F466" s="65"/>
      <c r="G466" s="65"/>
      <c r="H466" s="66"/>
      <c r="I466" s="66"/>
      <c r="J466" s="66"/>
      <c r="K466" s="120"/>
      <c r="L466" s="120"/>
      <c r="M466" s="120"/>
      <c r="N466" s="120"/>
      <c r="O466" s="226">
        <v>17748</v>
      </c>
      <c r="P466" s="80">
        <v>17748</v>
      </c>
      <c r="Q466" s="80">
        <v>17748</v>
      </c>
      <c r="R466" s="123"/>
      <c r="S466" s="123"/>
      <c r="T466" s="122">
        <v>17748</v>
      </c>
      <c r="U466" s="122"/>
      <c r="V466" s="123"/>
      <c r="W466" s="123"/>
      <c r="X466" s="122"/>
    </row>
    <row r="467" spans="2:24" ht="15.75">
      <c r="B467" s="65" t="s">
        <v>164</v>
      </c>
      <c r="C467" s="65"/>
      <c r="D467" s="65"/>
      <c r="E467" s="65"/>
      <c r="F467" s="65"/>
      <c r="G467" s="65"/>
      <c r="H467" s="66">
        <v>7680788.08</v>
      </c>
      <c r="I467" s="66"/>
      <c r="J467" s="66"/>
      <c r="K467" s="120"/>
      <c r="L467" s="120"/>
      <c r="M467" s="120"/>
      <c r="N467" s="120"/>
      <c r="O467" s="226">
        <v>7680788.08</v>
      </c>
      <c r="P467" s="80">
        <v>7680788.08</v>
      </c>
      <c r="Q467" s="80">
        <v>7680788.08</v>
      </c>
      <c r="R467" s="123"/>
      <c r="S467" s="123"/>
      <c r="T467" s="122">
        <v>7680788.08</v>
      </c>
      <c r="U467" s="122">
        <v>7680788.08</v>
      </c>
      <c r="V467" s="123"/>
      <c r="W467" s="123"/>
      <c r="X467" s="122">
        <v>7680788.08</v>
      </c>
    </row>
    <row r="468" spans="2:24" ht="15.75">
      <c r="B468" s="65" t="s">
        <v>633</v>
      </c>
      <c r="C468" s="65"/>
      <c r="D468" s="65"/>
      <c r="E468" s="65"/>
      <c r="F468" s="65"/>
      <c r="G468" s="65"/>
      <c r="H468" s="66"/>
      <c r="I468" s="66"/>
      <c r="J468" s="66"/>
      <c r="K468" s="120"/>
      <c r="L468" s="120"/>
      <c r="M468" s="120"/>
      <c r="N468" s="120"/>
      <c r="O468" s="226">
        <v>834600</v>
      </c>
      <c r="P468" s="80">
        <v>834600</v>
      </c>
      <c r="Q468" s="80">
        <v>834600</v>
      </c>
      <c r="R468" s="123"/>
      <c r="S468" s="123"/>
      <c r="T468" s="122"/>
      <c r="U468" s="122"/>
      <c r="V468" s="123"/>
      <c r="W468" s="123"/>
      <c r="X468" s="122"/>
    </row>
    <row r="469" spans="2:24" ht="16.5" thickBot="1">
      <c r="B469" s="65" t="s">
        <v>165</v>
      </c>
      <c r="C469" s="65"/>
      <c r="D469" s="65"/>
      <c r="E469" s="65"/>
      <c r="F469" s="65"/>
      <c r="G469" s="65"/>
      <c r="H469" s="68">
        <v>667000</v>
      </c>
      <c r="I469" s="67"/>
      <c r="J469" s="67"/>
      <c r="K469" s="120"/>
      <c r="L469" s="120"/>
      <c r="M469" s="120"/>
      <c r="N469" s="120"/>
      <c r="O469" s="95">
        <v>667000</v>
      </c>
      <c r="P469" s="95">
        <v>667000</v>
      </c>
      <c r="Q469" s="95">
        <v>667000</v>
      </c>
      <c r="R469" s="123"/>
      <c r="S469" s="123"/>
      <c r="T469" s="324">
        <v>667000</v>
      </c>
      <c r="U469" s="324">
        <v>667000</v>
      </c>
      <c r="V469" s="123"/>
      <c r="W469" s="123"/>
      <c r="X469" s="324">
        <v>667000</v>
      </c>
    </row>
    <row r="470" spans="2:24" ht="16.5" thickBot="1">
      <c r="B470" s="65" t="s">
        <v>680</v>
      </c>
      <c r="C470" s="65"/>
      <c r="D470" s="65"/>
      <c r="E470" s="65"/>
      <c r="F470" s="65"/>
      <c r="G470" s="65"/>
      <c r="H470" s="67"/>
      <c r="I470" s="67"/>
      <c r="J470" s="67"/>
      <c r="K470" s="120"/>
      <c r="L470" s="120"/>
      <c r="M470" s="120"/>
      <c r="N470" s="120"/>
      <c r="O470" s="93">
        <v>19756.48</v>
      </c>
      <c r="P470" s="93">
        <v>19756.48</v>
      </c>
      <c r="Q470" s="93"/>
      <c r="R470" s="123"/>
      <c r="S470" s="123"/>
      <c r="T470" s="342"/>
      <c r="U470" s="342"/>
      <c r="V470" s="123"/>
      <c r="W470" s="123"/>
      <c r="X470" s="342"/>
    </row>
    <row r="471" spans="2:24" ht="16.5">
      <c r="B471" s="65"/>
      <c r="C471" s="65"/>
      <c r="D471" s="65"/>
      <c r="E471" s="65"/>
      <c r="F471" s="65"/>
      <c r="G471" s="65"/>
      <c r="H471" s="74">
        <f>SUM(H456:H469)</f>
        <v>46468107.62</v>
      </c>
      <c r="I471" s="74"/>
      <c r="J471" s="74"/>
      <c r="K471" s="120"/>
      <c r="L471" s="120"/>
      <c r="M471" s="120"/>
      <c r="N471" s="120"/>
      <c r="O471" s="232">
        <f>SUM(O456:O470)</f>
        <v>37276803.01</v>
      </c>
      <c r="P471" s="232">
        <f>SUM(P456:P470)</f>
        <v>49132288.989999995</v>
      </c>
      <c r="Q471" s="232">
        <f>SUM(Q456:Q469)</f>
        <v>49947130.019999996</v>
      </c>
      <c r="R471" s="343"/>
      <c r="S471" s="123"/>
      <c r="T471" s="345">
        <f>SUM(T456:T469)</f>
        <v>47961874.12</v>
      </c>
      <c r="U471" s="345">
        <f>SUM(U456:U469)</f>
        <v>47115645.529999994</v>
      </c>
      <c r="V471" s="123"/>
      <c r="W471" s="123"/>
      <c r="X471" s="345">
        <f>SUM(X456:X469)</f>
        <v>45848374.41</v>
      </c>
    </row>
    <row r="472" spans="2:24" ht="16.5">
      <c r="B472" s="77" t="s">
        <v>26</v>
      </c>
      <c r="C472" s="65"/>
      <c r="D472" s="65"/>
      <c r="E472" s="65"/>
      <c r="F472" s="65"/>
      <c r="G472" s="65"/>
      <c r="H472" s="74"/>
      <c r="I472" s="74"/>
      <c r="J472" s="74"/>
      <c r="K472" s="120"/>
      <c r="L472" s="120"/>
      <c r="M472" s="120"/>
      <c r="N472" s="120"/>
      <c r="O472" s="136"/>
      <c r="P472" s="120"/>
      <c r="Q472" s="120"/>
      <c r="R472" s="359"/>
      <c r="S472" s="123"/>
      <c r="T472" s="123"/>
      <c r="U472" s="122"/>
      <c r="V472" s="123"/>
      <c r="W472" s="123"/>
      <c r="X472" s="122"/>
    </row>
    <row r="473" spans="2:24" ht="16.5">
      <c r="B473" s="65" t="s">
        <v>153</v>
      </c>
      <c r="C473" s="65"/>
      <c r="D473" s="65"/>
      <c r="E473" s="65"/>
      <c r="F473" s="65"/>
      <c r="G473" s="65"/>
      <c r="H473" s="67">
        <v>23555907.2</v>
      </c>
      <c r="I473" s="78"/>
      <c r="J473" s="78"/>
      <c r="K473" s="120"/>
      <c r="L473" s="120"/>
      <c r="M473" s="120"/>
      <c r="N473" s="120"/>
      <c r="O473" s="92">
        <f>+'Depreciación Acumulada'!E199</f>
        <v>26677461.869999997</v>
      </c>
      <c r="P473" s="92">
        <f>+'Depreciación Acumulada'!F199</f>
        <v>31718977.439999998</v>
      </c>
      <c r="Q473" s="92">
        <f>+'Depreciación Acumulada'!G199</f>
        <v>30655866.19</v>
      </c>
      <c r="R473" s="123"/>
      <c r="S473" s="123"/>
      <c r="T473" s="322">
        <v>30087204.24</v>
      </c>
      <c r="U473" s="322">
        <v>29518542.29</v>
      </c>
      <c r="V473" s="123"/>
      <c r="W473" s="123"/>
      <c r="X473" s="322">
        <v>25289708.34</v>
      </c>
    </row>
    <row r="474" spans="2:24" ht="19.5" thickBot="1">
      <c r="B474" s="117" t="s">
        <v>148</v>
      </c>
      <c r="C474" s="65"/>
      <c r="D474" s="65"/>
      <c r="E474" s="65"/>
      <c r="F474" s="65"/>
      <c r="G474" s="65"/>
      <c r="H474" s="71">
        <f>+H471-H473</f>
        <v>22912200.419999998</v>
      </c>
      <c r="I474" s="78"/>
      <c r="J474" s="78"/>
      <c r="K474" s="136"/>
      <c r="L474" s="120"/>
      <c r="M474" s="120"/>
      <c r="N474" s="120"/>
      <c r="O474" s="232">
        <f>+O471-O473</f>
        <v>10599341.14</v>
      </c>
      <c r="P474" s="232">
        <f>+P471-P473</f>
        <v>17413311.549999997</v>
      </c>
      <c r="Q474" s="232">
        <f>+Q471-Q473</f>
        <v>19291263.829999994</v>
      </c>
      <c r="R474" s="123"/>
      <c r="S474" s="123"/>
      <c r="T474" s="341">
        <f>+T471-T473</f>
        <v>17874669.88</v>
      </c>
      <c r="U474" s="341">
        <f>+U471-U473</f>
        <v>17597103.239999995</v>
      </c>
      <c r="V474" s="123"/>
      <c r="W474" s="123"/>
      <c r="X474" s="341">
        <f>+X471-X473</f>
        <v>20558666.069999997</v>
      </c>
    </row>
    <row r="475" spans="2:24" ht="16.5" thickBot="1" thickTop="1">
      <c r="B475" s="13"/>
      <c r="C475" s="13"/>
      <c r="D475" s="13"/>
      <c r="E475" s="13"/>
      <c r="F475" s="13"/>
      <c r="G475" s="13"/>
      <c r="H475" s="7"/>
      <c r="I475" s="7"/>
      <c r="J475" s="7"/>
      <c r="O475" s="165"/>
      <c r="P475" s="165"/>
      <c r="Q475" s="165"/>
      <c r="T475" s="360"/>
      <c r="U475" s="326"/>
      <c r="X475" s="326"/>
    </row>
    <row r="476" spans="2:24" ht="19.5" thickBot="1">
      <c r="B476" s="161" t="s">
        <v>638</v>
      </c>
      <c r="C476" s="161"/>
      <c r="D476" s="161"/>
      <c r="E476" s="161"/>
      <c r="F476" s="161"/>
      <c r="G476" s="161"/>
      <c r="H476" s="47">
        <f>+H445+H474</f>
        <v>125037230.82000001</v>
      </c>
      <c r="I476" s="7"/>
      <c r="J476" s="7"/>
      <c r="O476" s="233">
        <f>+O445+O474</f>
        <v>86965065.74999999</v>
      </c>
      <c r="P476" s="233">
        <f>+P445+P474</f>
        <v>101507319.39999999</v>
      </c>
      <c r="Q476" s="233">
        <f>+Q445+Q474</f>
        <v>107799784.11</v>
      </c>
      <c r="T476" s="361">
        <f>+T445+T474</f>
        <v>110746776.42999998</v>
      </c>
      <c r="U476" s="361">
        <f>+U445+U474</f>
        <v>114239502.88000001</v>
      </c>
      <c r="X476" s="361">
        <f>+X445+X474</f>
        <v>117952213.47</v>
      </c>
    </row>
    <row r="477" spans="2:24" ht="15.75" thickTop="1">
      <c r="B477" s="13"/>
      <c r="C477" s="13"/>
      <c r="D477" s="13"/>
      <c r="E477" s="13"/>
      <c r="F477" s="13"/>
      <c r="G477" s="13"/>
      <c r="H477" s="7"/>
      <c r="I477" s="7"/>
      <c r="J477" s="7"/>
      <c r="X477" s="326"/>
    </row>
    <row r="478" spans="2:24" ht="16.5">
      <c r="B478" s="198" t="s">
        <v>962</v>
      </c>
      <c r="C478" s="13"/>
      <c r="D478" s="13"/>
      <c r="E478" s="13"/>
      <c r="F478" s="13"/>
      <c r="G478" s="13"/>
      <c r="H478" s="7"/>
      <c r="I478" s="7"/>
      <c r="J478" s="7"/>
      <c r="X478" s="326"/>
    </row>
    <row r="479" spans="2:24" ht="16.5">
      <c r="B479" s="198" t="s">
        <v>961</v>
      </c>
      <c r="C479" s="13"/>
      <c r="D479" s="13"/>
      <c r="E479" s="13"/>
      <c r="F479" s="13"/>
      <c r="G479" s="13"/>
      <c r="H479" s="13"/>
      <c r="I479" s="13"/>
      <c r="J479" s="13"/>
      <c r="X479" s="326"/>
    </row>
    <row r="480" spans="2:31" s="176" customFormat="1" ht="15">
      <c r="B480" s="13"/>
      <c r="C480" s="13"/>
      <c r="D480" s="13"/>
      <c r="E480" s="13"/>
      <c r="F480" s="13"/>
      <c r="G480" s="13"/>
      <c r="H480" s="13"/>
      <c r="I480" s="13"/>
      <c r="J480" s="13"/>
      <c r="R480" s="133"/>
      <c r="S480" s="133"/>
      <c r="T480" s="133"/>
      <c r="U480" s="133"/>
      <c r="V480" s="133"/>
      <c r="W480" s="133"/>
      <c r="X480" s="326"/>
      <c r="Y480" s="133"/>
      <c r="Z480" s="133"/>
      <c r="AA480" s="133"/>
      <c r="AB480" s="133"/>
      <c r="AC480" s="133"/>
      <c r="AD480" s="133"/>
      <c r="AE480" s="133"/>
    </row>
    <row r="481" spans="2:24" ht="18.75">
      <c r="B481" s="117" t="s">
        <v>601</v>
      </c>
      <c r="C481" s="139"/>
      <c r="D481" s="139"/>
      <c r="E481" s="139"/>
      <c r="F481" s="13"/>
      <c r="G481" s="13"/>
      <c r="H481" s="13"/>
      <c r="I481" s="13"/>
      <c r="J481" s="13"/>
      <c r="O481" s="494" t="s">
        <v>665</v>
      </c>
      <c r="P481" s="494"/>
      <c r="Q481" s="249"/>
      <c r="T481" s="335">
        <v>2018</v>
      </c>
      <c r="U481" s="335">
        <v>2017</v>
      </c>
      <c r="V481" s="340"/>
      <c r="W481" s="340"/>
      <c r="X481" s="335">
        <v>2016</v>
      </c>
    </row>
    <row r="482" spans="2:24" ht="20.25">
      <c r="B482" s="208" t="s">
        <v>504</v>
      </c>
      <c r="C482" s="139"/>
      <c r="D482" s="139"/>
      <c r="E482" s="139"/>
      <c r="F482" s="13"/>
      <c r="G482" s="13"/>
      <c r="H482" s="13"/>
      <c r="I482" s="13"/>
      <c r="J482" s="13"/>
      <c r="O482" s="118">
        <v>2021</v>
      </c>
      <c r="P482" s="118">
        <v>2020</v>
      </c>
      <c r="Q482" s="118">
        <v>2019</v>
      </c>
      <c r="X482" s="326"/>
    </row>
    <row r="483" spans="2:24" ht="15">
      <c r="B483" s="13" t="s">
        <v>169</v>
      </c>
      <c r="C483" s="13"/>
      <c r="D483" s="13"/>
      <c r="E483" s="13"/>
      <c r="F483" s="13"/>
      <c r="G483" s="13"/>
      <c r="H483" s="13"/>
      <c r="I483" s="13"/>
      <c r="J483" s="13"/>
      <c r="U483" s="326"/>
      <c r="X483" s="326"/>
    </row>
    <row r="484" spans="2:24" ht="15">
      <c r="B484" s="13"/>
      <c r="C484" s="13"/>
      <c r="D484" s="13"/>
      <c r="E484" s="13"/>
      <c r="F484" s="13"/>
      <c r="G484" s="13"/>
      <c r="H484" s="13"/>
      <c r="I484" s="13"/>
      <c r="J484" s="13"/>
      <c r="U484" s="326"/>
      <c r="X484" s="326"/>
    </row>
    <row r="485" spans="2:24" ht="15" hidden="1">
      <c r="B485" s="13" t="s">
        <v>170</v>
      </c>
      <c r="C485" s="13"/>
      <c r="D485" s="13"/>
      <c r="E485" s="13"/>
      <c r="F485" s="13"/>
      <c r="G485" s="13"/>
      <c r="H485" s="7"/>
      <c r="I485" s="7"/>
      <c r="J485" s="7"/>
      <c r="U485" s="326"/>
      <c r="X485" s="326"/>
    </row>
    <row r="486" spans="2:24" ht="15" hidden="1">
      <c r="B486" s="13" t="s">
        <v>171</v>
      </c>
      <c r="C486" s="13"/>
      <c r="D486" s="13"/>
      <c r="E486" s="13"/>
      <c r="F486" s="13"/>
      <c r="G486" s="13"/>
      <c r="H486" s="7"/>
      <c r="I486" s="7"/>
      <c r="J486" s="7"/>
      <c r="U486" s="326"/>
      <c r="X486" s="326"/>
    </row>
    <row r="487" spans="2:24" ht="15" hidden="1">
      <c r="B487" s="13" t="s">
        <v>172</v>
      </c>
      <c r="C487" s="13"/>
      <c r="D487" s="13"/>
      <c r="E487" s="13"/>
      <c r="F487" s="13"/>
      <c r="G487" s="13"/>
      <c r="H487" s="7"/>
      <c r="I487" s="7"/>
      <c r="J487" s="7"/>
      <c r="U487" s="326"/>
      <c r="X487" s="326"/>
    </row>
    <row r="488" spans="2:24" ht="16.5">
      <c r="B488" s="65" t="s">
        <v>552</v>
      </c>
      <c r="C488" s="65"/>
      <c r="D488" s="65"/>
      <c r="E488" s="65"/>
      <c r="F488" s="77"/>
      <c r="G488" s="65"/>
      <c r="H488" s="69">
        <v>14664080.14</v>
      </c>
      <c r="I488" s="66"/>
      <c r="J488" s="66"/>
      <c r="K488" s="120"/>
      <c r="L488" s="120"/>
      <c r="M488" s="120"/>
      <c r="N488" s="120"/>
      <c r="O488" s="226">
        <f>8111355.89-5431836.47</f>
        <v>2679519.42</v>
      </c>
      <c r="P488" s="226">
        <v>1510755.51</v>
      </c>
      <c r="Q488" s="80">
        <v>4363148.71</v>
      </c>
      <c r="R488" s="123"/>
      <c r="S488" s="123"/>
      <c r="T488" s="122">
        <f>13170406.76+813857.11-8027430.91</f>
        <v>5956832.959999999</v>
      </c>
      <c r="U488" s="122">
        <v>2508515.95</v>
      </c>
      <c r="V488" s="123"/>
      <c r="W488" s="123"/>
      <c r="X488" s="122">
        <f>13357011.35+856702.74</f>
        <v>14213714.09</v>
      </c>
    </row>
    <row r="489" spans="2:24" ht="16.5">
      <c r="B489" s="65" t="s">
        <v>550</v>
      </c>
      <c r="C489" s="65"/>
      <c r="D489" s="65"/>
      <c r="E489" s="65"/>
      <c r="F489" s="77"/>
      <c r="G489" s="65"/>
      <c r="H489" s="67"/>
      <c r="I489" s="66"/>
      <c r="J489" s="66"/>
      <c r="K489" s="120"/>
      <c r="L489" s="120"/>
      <c r="M489" s="120"/>
      <c r="N489" s="120"/>
      <c r="O489" s="226">
        <f>8111355.89-2679519.42</f>
        <v>5431836.47</v>
      </c>
      <c r="P489" s="226">
        <v>3050084.21</v>
      </c>
      <c r="Q489" s="80">
        <f>13825204.05-4363148.71</f>
        <v>9462055.34</v>
      </c>
      <c r="R489" s="123"/>
      <c r="S489" s="123"/>
      <c r="T489" s="122">
        <v>8027430.91</v>
      </c>
      <c r="U489" s="122">
        <f>9924946.63+827104.35</f>
        <v>10752050.98</v>
      </c>
      <c r="V489" s="123"/>
      <c r="W489" s="123"/>
      <c r="X489" s="122"/>
    </row>
    <row r="490" spans="2:24" ht="16.5" thickBot="1">
      <c r="B490" s="13"/>
      <c r="C490" s="13"/>
      <c r="D490" s="13"/>
      <c r="E490" s="13"/>
      <c r="F490" s="26"/>
      <c r="G490" s="13"/>
      <c r="H490" s="12"/>
      <c r="I490" s="7"/>
      <c r="J490" s="7"/>
      <c r="Q490" s="60"/>
      <c r="T490" s="355"/>
      <c r="U490" s="326"/>
      <c r="X490" s="326"/>
    </row>
    <row r="491" spans="2:24" ht="19.5" thickBot="1">
      <c r="B491" s="117" t="s">
        <v>639</v>
      </c>
      <c r="C491" s="139"/>
      <c r="D491" s="139"/>
      <c r="E491" s="139"/>
      <c r="F491" s="117"/>
      <c r="G491" s="139"/>
      <c r="H491" s="47">
        <f>SUM(H488)</f>
        <v>14664080.14</v>
      </c>
      <c r="I491" s="7"/>
      <c r="J491" s="7"/>
      <c r="O491" s="234">
        <f>SUM(O488:O490)</f>
        <v>8111355.89</v>
      </c>
      <c r="P491" s="234">
        <f>SUM(P488:P490)</f>
        <v>4560839.72</v>
      </c>
      <c r="Q491" s="234">
        <f>SUM(Q488:Q490)</f>
        <v>13825204.05</v>
      </c>
      <c r="T491" s="361">
        <f>SUM(T488:T490)</f>
        <v>13984263.87</v>
      </c>
      <c r="U491" s="361">
        <f>SUM(U488:U490)</f>
        <v>13260566.93</v>
      </c>
      <c r="X491" s="361">
        <f>SUM(X488)</f>
        <v>14213714.09</v>
      </c>
    </row>
    <row r="492" spans="2:24" ht="17.25" thickTop="1">
      <c r="B492" s="77"/>
      <c r="C492" s="13"/>
      <c r="D492" s="13"/>
      <c r="E492" s="13"/>
      <c r="F492" s="26"/>
      <c r="G492" s="13"/>
      <c r="H492" s="7"/>
      <c r="I492" s="7"/>
      <c r="J492" s="7"/>
      <c r="X492" s="326"/>
    </row>
    <row r="493" spans="2:24" ht="16.5">
      <c r="B493" s="65"/>
      <c r="C493" s="13"/>
      <c r="D493" s="13"/>
      <c r="E493" s="13"/>
      <c r="F493" s="26"/>
      <c r="G493" s="13"/>
      <c r="H493" s="7"/>
      <c r="I493" s="7"/>
      <c r="J493" s="7"/>
      <c r="X493" s="326"/>
    </row>
    <row r="494" spans="2:24" ht="16.5" hidden="1">
      <c r="B494" s="77" t="s">
        <v>178</v>
      </c>
      <c r="C494" s="13"/>
      <c r="D494" s="13"/>
      <c r="E494" s="13"/>
      <c r="F494" s="13"/>
      <c r="G494" s="13"/>
      <c r="H494" s="13"/>
      <c r="I494" s="13"/>
      <c r="J494" s="13"/>
      <c r="X494" s="326"/>
    </row>
    <row r="495" spans="2:24" ht="16.5" hidden="1">
      <c r="B495" s="77" t="s">
        <v>179</v>
      </c>
      <c r="C495" s="13"/>
      <c r="D495" s="13"/>
      <c r="E495" s="13"/>
      <c r="F495" s="13"/>
      <c r="G495" s="13"/>
      <c r="H495" s="13"/>
      <c r="I495" s="13"/>
      <c r="J495" s="13"/>
      <c r="X495" s="326"/>
    </row>
    <row r="496" spans="2:24" ht="15" hidden="1">
      <c r="B496" s="13" t="s">
        <v>180</v>
      </c>
      <c r="C496" s="13"/>
      <c r="D496" s="13"/>
      <c r="E496" s="13"/>
      <c r="F496" s="13"/>
      <c r="G496" s="13"/>
      <c r="H496" s="13"/>
      <c r="I496" s="13"/>
      <c r="J496" s="13"/>
      <c r="X496" s="326"/>
    </row>
    <row r="497" spans="2:24" ht="15" hidden="1">
      <c r="B497" s="13"/>
      <c r="C497" s="13"/>
      <c r="D497" s="13"/>
      <c r="E497" s="13"/>
      <c r="F497" s="13"/>
      <c r="G497" s="13"/>
      <c r="H497" s="13"/>
      <c r="I497" s="13"/>
      <c r="J497" s="13"/>
      <c r="X497" s="326"/>
    </row>
    <row r="498" spans="2:24" ht="15" hidden="1">
      <c r="B498" s="13" t="s">
        <v>181</v>
      </c>
      <c r="C498" s="13"/>
      <c r="D498" s="13"/>
      <c r="E498" s="13"/>
      <c r="F498" s="13" t="s">
        <v>97</v>
      </c>
      <c r="G498" s="13"/>
      <c r="H498" s="7">
        <f>-1716449.17+6731957.88</f>
        <v>5015508.71</v>
      </c>
      <c r="I498" s="7"/>
      <c r="J498" s="7"/>
      <c r="X498" s="326"/>
    </row>
    <row r="499" spans="2:24" ht="15" hidden="1">
      <c r="B499" s="13" t="s">
        <v>182</v>
      </c>
      <c r="C499" s="13"/>
      <c r="D499" s="13"/>
      <c r="E499" s="13"/>
      <c r="F499" s="13" t="s">
        <v>109</v>
      </c>
      <c r="G499" s="13"/>
      <c r="H499" s="7">
        <f>2763439.02-29367.57</f>
        <v>2734071.45</v>
      </c>
      <c r="I499" s="7"/>
      <c r="J499" s="7"/>
      <c r="X499" s="326"/>
    </row>
    <row r="500" spans="2:24" ht="15" hidden="1">
      <c r="B500" s="13" t="s">
        <v>183</v>
      </c>
      <c r="C500" s="13"/>
      <c r="D500" s="13"/>
      <c r="E500" s="13"/>
      <c r="F500" s="13" t="s">
        <v>109</v>
      </c>
      <c r="G500" s="13"/>
      <c r="H500" s="7">
        <f>2052506.87-346216.31+159676.89-316477.65</f>
        <v>1549489.8000000003</v>
      </c>
      <c r="I500" s="7"/>
      <c r="J500" s="7"/>
      <c r="X500" s="326"/>
    </row>
    <row r="501" spans="2:24" ht="15" hidden="1">
      <c r="B501" s="13" t="s">
        <v>184</v>
      </c>
      <c r="C501" s="13"/>
      <c r="D501" s="13"/>
      <c r="E501" s="13"/>
      <c r="F501" s="13"/>
      <c r="G501" s="13"/>
      <c r="H501" s="7">
        <v>-14579.15</v>
      </c>
      <c r="I501" s="7"/>
      <c r="J501" s="7"/>
      <c r="X501" s="326"/>
    </row>
    <row r="502" spans="2:24" ht="15" hidden="1">
      <c r="B502" s="13" t="s">
        <v>185</v>
      </c>
      <c r="C502" s="13"/>
      <c r="D502" s="13"/>
      <c r="E502" s="13"/>
      <c r="F502" s="13"/>
      <c r="G502" s="13"/>
      <c r="H502" s="7"/>
      <c r="I502" s="7"/>
      <c r="J502" s="7"/>
      <c r="X502" s="326"/>
    </row>
    <row r="503" spans="2:24" ht="15" hidden="1">
      <c r="B503" s="13" t="s">
        <v>186</v>
      </c>
      <c r="C503" s="13"/>
      <c r="D503" s="13"/>
      <c r="E503" s="13"/>
      <c r="F503" s="13"/>
      <c r="G503" s="13"/>
      <c r="H503" s="7">
        <f>-178986.16+230125.22</f>
        <v>51139.06</v>
      </c>
      <c r="I503" s="7"/>
      <c r="J503" s="7"/>
      <c r="X503" s="326"/>
    </row>
    <row r="504" spans="2:24" ht="15" hidden="1">
      <c r="B504" s="13" t="s">
        <v>187</v>
      </c>
      <c r="C504" s="13"/>
      <c r="D504" s="13"/>
      <c r="E504" s="13"/>
      <c r="F504" s="13"/>
      <c r="G504" s="13"/>
      <c r="H504" s="7"/>
      <c r="I504" s="7"/>
      <c r="J504" s="7"/>
      <c r="X504" s="326"/>
    </row>
    <row r="505" spans="2:24" ht="15" hidden="1">
      <c r="B505" s="13" t="s">
        <v>186</v>
      </c>
      <c r="C505" s="13"/>
      <c r="D505" s="13"/>
      <c r="E505" s="13"/>
      <c r="F505" s="13"/>
      <c r="G505" s="13"/>
      <c r="H505" s="7"/>
      <c r="I505" s="7"/>
      <c r="J505" s="7"/>
      <c r="X505" s="326"/>
    </row>
    <row r="506" spans="2:24" ht="15" hidden="1">
      <c r="B506" s="13" t="s">
        <v>188</v>
      </c>
      <c r="C506" s="13"/>
      <c r="D506" s="13"/>
      <c r="E506" s="13"/>
      <c r="F506" s="13" t="s">
        <v>189</v>
      </c>
      <c r="G506" s="13"/>
      <c r="H506" s="7">
        <v>1477581.31</v>
      </c>
      <c r="I506" s="7"/>
      <c r="J506" s="7"/>
      <c r="X506" s="326"/>
    </row>
    <row r="507" spans="2:24" ht="15" hidden="1">
      <c r="B507" s="13" t="s">
        <v>190</v>
      </c>
      <c r="C507" s="13"/>
      <c r="D507" s="13"/>
      <c r="E507" s="13"/>
      <c r="F507" s="13"/>
      <c r="G507" s="13"/>
      <c r="H507" s="7">
        <v>37729.34</v>
      </c>
      <c r="I507" s="7"/>
      <c r="J507" s="7"/>
      <c r="X507" s="326"/>
    </row>
    <row r="508" spans="2:24" ht="15" hidden="1">
      <c r="B508" s="13" t="s">
        <v>191</v>
      </c>
      <c r="C508" s="13"/>
      <c r="D508" s="13"/>
      <c r="E508" s="13"/>
      <c r="F508" s="13"/>
      <c r="G508" s="13"/>
      <c r="H508" s="7">
        <v>0</v>
      </c>
      <c r="I508" s="7"/>
      <c r="J508" s="7"/>
      <c r="X508" s="326"/>
    </row>
    <row r="509" spans="2:24" ht="15" hidden="1">
      <c r="B509" s="13" t="s">
        <v>192</v>
      </c>
      <c r="C509" s="13"/>
      <c r="D509" s="13"/>
      <c r="E509" s="13"/>
      <c r="F509" s="13"/>
      <c r="G509" s="13"/>
      <c r="H509" s="7">
        <v>0</v>
      </c>
      <c r="I509" s="7"/>
      <c r="J509" s="7"/>
      <c r="X509" s="326"/>
    </row>
    <row r="510" spans="2:24" ht="15" hidden="1">
      <c r="B510" s="13" t="s">
        <v>193</v>
      </c>
      <c r="C510" s="13"/>
      <c r="D510" s="13"/>
      <c r="E510" s="13"/>
      <c r="F510" s="13"/>
      <c r="G510" s="13"/>
      <c r="H510" s="7">
        <v>1468960.35</v>
      </c>
      <c r="I510" s="7"/>
      <c r="J510" s="7"/>
      <c r="X510" s="326"/>
    </row>
    <row r="511" spans="2:24" ht="15" hidden="1">
      <c r="B511" s="13" t="s">
        <v>194</v>
      </c>
      <c r="C511" s="13"/>
      <c r="D511" s="13"/>
      <c r="E511" s="13"/>
      <c r="F511" s="13"/>
      <c r="G511" s="13"/>
      <c r="H511" s="7">
        <v>0</v>
      </c>
      <c r="I511" s="7"/>
      <c r="J511" s="7"/>
      <c r="X511" s="326"/>
    </row>
    <row r="512" spans="2:24" ht="15" hidden="1">
      <c r="B512" s="13" t="s">
        <v>195</v>
      </c>
      <c r="C512" s="13"/>
      <c r="D512" s="13"/>
      <c r="E512" s="13"/>
      <c r="F512" s="13"/>
      <c r="G512" s="13"/>
      <c r="H512" s="7"/>
      <c r="I512" s="7"/>
      <c r="J512" s="7"/>
      <c r="X512" s="326"/>
    </row>
    <row r="513" spans="2:24" ht="15" hidden="1">
      <c r="B513" s="13" t="s">
        <v>185</v>
      </c>
      <c r="C513" s="13"/>
      <c r="D513" s="13"/>
      <c r="E513" s="13"/>
      <c r="F513" s="13"/>
      <c r="G513" s="13"/>
      <c r="H513" s="7"/>
      <c r="I513" s="7"/>
      <c r="J513" s="7"/>
      <c r="X513" s="326"/>
    </row>
    <row r="514" spans="2:24" ht="15" hidden="1">
      <c r="B514" s="13" t="s">
        <v>196</v>
      </c>
      <c r="C514" s="13"/>
      <c r="D514" s="13"/>
      <c r="E514" s="13"/>
      <c r="F514" s="13"/>
      <c r="G514" s="13"/>
      <c r="H514" s="7">
        <v>0</v>
      </c>
      <c r="I514" s="7"/>
      <c r="J514" s="7"/>
      <c r="X514" s="326"/>
    </row>
    <row r="515" spans="2:24" ht="15" hidden="1">
      <c r="B515" s="13" t="s">
        <v>197</v>
      </c>
      <c r="C515" s="13"/>
      <c r="D515" s="13"/>
      <c r="E515" s="13"/>
      <c r="F515" s="13"/>
      <c r="G515" s="13"/>
      <c r="H515" s="7">
        <v>12284.94</v>
      </c>
      <c r="I515" s="7"/>
      <c r="J515" s="7"/>
      <c r="X515" s="326"/>
    </row>
    <row r="516" spans="2:24" ht="17.25" hidden="1" thickBot="1">
      <c r="B516" s="77" t="s">
        <v>148</v>
      </c>
      <c r="C516" s="13"/>
      <c r="D516" s="13"/>
      <c r="E516" s="13"/>
      <c r="F516" s="13"/>
      <c r="G516" s="13"/>
      <c r="H516" s="19">
        <f>SUM(H498:H515)</f>
        <v>12332185.81</v>
      </c>
      <c r="I516" s="144"/>
      <c r="J516" s="144"/>
      <c r="X516" s="326"/>
    </row>
    <row r="517" spans="8:24" ht="15" hidden="1">
      <c r="H517" s="166"/>
      <c r="I517" s="166"/>
      <c r="J517" s="166"/>
      <c r="X517" s="326"/>
    </row>
    <row r="518" spans="2:24" ht="15" hidden="1">
      <c r="B518" s="13" t="s">
        <v>198</v>
      </c>
      <c r="H518" s="166"/>
      <c r="I518" s="166"/>
      <c r="J518" s="166"/>
      <c r="X518" s="326"/>
    </row>
    <row r="519" spans="2:24" ht="15" hidden="1">
      <c r="B519" s="13" t="s">
        <v>199</v>
      </c>
      <c r="H519" s="166"/>
      <c r="I519" s="166"/>
      <c r="J519" s="166"/>
      <c r="X519" s="326"/>
    </row>
    <row r="520" spans="2:24" ht="15.75" hidden="1">
      <c r="B520" s="13" t="s">
        <v>200</v>
      </c>
      <c r="C520" s="13"/>
      <c r="D520" s="13"/>
      <c r="E520" s="13"/>
      <c r="F520" s="13"/>
      <c r="G520" s="13"/>
      <c r="H520" s="11"/>
      <c r="I520" s="11"/>
      <c r="J520" s="11"/>
      <c r="X520" s="326"/>
    </row>
    <row r="521" spans="2:24" ht="15.75" hidden="1">
      <c r="B521" s="13" t="s">
        <v>201</v>
      </c>
      <c r="C521" s="13"/>
      <c r="D521" s="13"/>
      <c r="E521" s="13"/>
      <c r="F521" s="13"/>
      <c r="G521" s="13"/>
      <c r="H521" s="11"/>
      <c r="I521" s="11"/>
      <c r="J521" s="7"/>
      <c r="X521" s="326"/>
    </row>
    <row r="522" spans="8:24" ht="15" hidden="1">
      <c r="H522" s="167"/>
      <c r="I522" s="167"/>
      <c r="J522" s="167"/>
      <c r="X522" s="326"/>
    </row>
    <row r="523" ht="15" hidden="1">
      <c r="X523" s="326"/>
    </row>
    <row r="524" ht="15" hidden="1">
      <c r="X524" s="326"/>
    </row>
    <row r="525" spans="2:24" ht="26.25" hidden="1">
      <c r="B525" s="115" t="s">
        <v>80</v>
      </c>
      <c r="C525" s="115"/>
      <c r="D525" s="115"/>
      <c r="E525" s="115"/>
      <c r="F525" s="115"/>
      <c r="G525" s="115"/>
      <c r="H525" s="115"/>
      <c r="I525" s="115"/>
      <c r="J525" s="115"/>
      <c r="K525" s="116"/>
      <c r="L525" s="116"/>
      <c r="X525" s="326"/>
    </row>
    <row r="526" spans="2:24" ht="26.25" customHeight="1" hidden="1">
      <c r="B526" s="13"/>
      <c r="C526" s="115" t="s">
        <v>81</v>
      </c>
      <c r="D526" s="115"/>
      <c r="E526" s="115"/>
      <c r="F526" s="115"/>
      <c r="G526" s="115"/>
      <c r="H526" s="115"/>
      <c r="I526" s="115"/>
      <c r="J526" s="115"/>
      <c r="K526" s="116"/>
      <c r="L526" s="116"/>
      <c r="X526" s="326"/>
    </row>
    <row r="527" spans="2:24" ht="26.25" hidden="1">
      <c r="B527" s="13"/>
      <c r="C527" s="115" t="s">
        <v>82</v>
      </c>
      <c r="D527" s="115" t="s">
        <v>83</v>
      </c>
      <c r="E527" s="115"/>
      <c r="F527" s="115"/>
      <c r="G527" s="115"/>
      <c r="H527" s="115"/>
      <c r="I527" s="115"/>
      <c r="J527" s="115"/>
      <c r="K527" s="116"/>
      <c r="L527" s="116"/>
      <c r="X527" s="326"/>
    </row>
    <row r="528" spans="2:24" ht="26.25" hidden="1">
      <c r="B528" s="13"/>
      <c r="C528" s="115" t="s">
        <v>150</v>
      </c>
      <c r="D528" s="115"/>
      <c r="E528" s="115"/>
      <c r="F528" s="115"/>
      <c r="G528" s="115"/>
      <c r="H528" s="115"/>
      <c r="I528" s="115"/>
      <c r="J528" s="115"/>
      <c r="K528" s="116"/>
      <c r="L528" s="116"/>
      <c r="X528" s="326"/>
    </row>
    <row r="529" spans="5:24" ht="22.5" customHeight="1" hidden="1">
      <c r="E529" s="115" t="s">
        <v>84</v>
      </c>
      <c r="X529" s="326"/>
    </row>
    <row r="530" spans="5:24" ht="22.5" customHeight="1" hidden="1">
      <c r="E530" s="115"/>
      <c r="X530" s="326"/>
    </row>
    <row r="531" spans="2:24" ht="22.5" customHeight="1" hidden="1">
      <c r="B531" s="168" t="s">
        <v>202</v>
      </c>
      <c r="E531" s="115"/>
      <c r="X531" s="326"/>
    </row>
    <row r="532" spans="2:24" ht="13.5" customHeight="1" hidden="1">
      <c r="B532" s="13" t="s">
        <v>203</v>
      </c>
      <c r="E532" s="115"/>
      <c r="X532" s="326"/>
    </row>
    <row r="533" spans="2:24" ht="13.5" customHeight="1" hidden="1">
      <c r="B533" s="13" t="s">
        <v>204</v>
      </c>
      <c r="E533" s="115"/>
      <c r="X533" s="326"/>
    </row>
    <row r="534" spans="2:24" ht="13.5" customHeight="1" hidden="1">
      <c r="B534" s="13" t="s">
        <v>205</v>
      </c>
      <c r="E534" s="115"/>
      <c r="X534" s="326"/>
    </row>
    <row r="535" spans="2:24" ht="13.5" customHeight="1" hidden="1">
      <c r="B535" s="13" t="s">
        <v>206</v>
      </c>
      <c r="E535" s="115"/>
      <c r="X535" s="326"/>
    </row>
    <row r="536" spans="2:24" ht="13.5" customHeight="1" hidden="1">
      <c r="B536" s="13" t="s">
        <v>207</v>
      </c>
      <c r="X536" s="326"/>
    </row>
    <row r="537" spans="1:24" ht="13.5" customHeight="1" hidden="1">
      <c r="A537" s="105"/>
      <c r="B537" s="13" t="s">
        <v>208</v>
      </c>
      <c r="C537" s="13"/>
      <c r="D537" s="13"/>
      <c r="E537" s="13"/>
      <c r="F537" s="13"/>
      <c r="G537" s="13"/>
      <c r="H537" s="13"/>
      <c r="I537" s="13"/>
      <c r="J537" s="13"/>
      <c r="X537" s="326"/>
    </row>
    <row r="538" spans="1:24" ht="13.5" customHeight="1" hidden="1">
      <c r="A538" s="105"/>
      <c r="B538" s="13" t="s">
        <v>209</v>
      </c>
      <c r="C538" s="13"/>
      <c r="D538" s="13"/>
      <c r="E538" s="13"/>
      <c r="F538" s="13"/>
      <c r="G538" s="13"/>
      <c r="H538" s="13"/>
      <c r="I538" s="13"/>
      <c r="J538" s="13"/>
      <c r="X538" s="326"/>
    </row>
    <row r="539" spans="1:24" ht="13.5" customHeight="1" hidden="1">
      <c r="A539" s="105"/>
      <c r="B539" s="13" t="s">
        <v>210</v>
      </c>
      <c r="C539" s="13"/>
      <c r="D539" s="13"/>
      <c r="E539" s="13"/>
      <c r="F539" s="13"/>
      <c r="G539" s="13"/>
      <c r="H539" s="13"/>
      <c r="I539" s="13"/>
      <c r="J539" s="13"/>
      <c r="X539" s="326"/>
    </row>
    <row r="540" spans="1:24" ht="13.5" customHeight="1" hidden="1">
      <c r="A540" s="105"/>
      <c r="B540" s="13" t="s">
        <v>211</v>
      </c>
      <c r="C540" s="13"/>
      <c r="D540" s="13"/>
      <c r="E540" s="13"/>
      <c r="F540" s="13"/>
      <c r="G540" s="13"/>
      <c r="H540" s="13"/>
      <c r="I540" s="13"/>
      <c r="J540" s="13"/>
      <c r="X540" s="326"/>
    </row>
    <row r="541" spans="1:24" ht="13.5" customHeight="1" hidden="1">
      <c r="A541" s="105"/>
      <c r="B541" s="169"/>
      <c r="C541" s="13"/>
      <c r="D541" s="13"/>
      <c r="E541" s="13"/>
      <c r="F541" s="13"/>
      <c r="G541" s="13"/>
      <c r="H541" s="13"/>
      <c r="I541" s="13"/>
      <c r="J541" s="13"/>
      <c r="X541" s="326"/>
    </row>
    <row r="542" spans="1:24" ht="13.5" customHeight="1" hidden="1">
      <c r="A542" s="105"/>
      <c r="B542" s="169"/>
      <c r="C542" s="13"/>
      <c r="D542" s="13"/>
      <c r="E542" s="13"/>
      <c r="F542" s="13"/>
      <c r="G542" s="13"/>
      <c r="H542" s="13"/>
      <c r="I542" s="13"/>
      <c r="J542" s="13"/>
      <c r="X542" s="326"/>
    </row>
    <row r="543" spans="1:24" ht="13.5" customHeight="1" hidden="1">
      <c r="A543" s="105"/>
      <c r="B543" s="169"/>
      <c r="C543" s="13"/>
      <c r="D543" s="13"/>
      <c r="E543" s="13"/>
      <c r="F543" s="13"/>
      <c r="G543" s="13"/>
      <c r="H543" s="13"/>
      <c r="I543" s="13"/>
      <c r="J543" s="13"/>
      <c r="X543" s="326"/>
    </row>
    <row r="544" spans="2:24" ht="16.5" customHeight="1" hidden="1">
      <c r="B544" s="168" t="s">
        <v>212</v>
      </c>
      <c r="C544" s="13"/>
      <c r="D544" s="13"/>
      <c r="E544" s="13"/>
      <c r="F544" s="13"/>
      <c r="G544" s="13"/>
      <c r="H544" s="13"/>
      <c r="I544" s="13"/>
      <c r="J544" s="13"/>
      <c r="X544" s="326"/>
    </row>
    <row r="545" spans="2:24" ht="16.5" hidden="1">
      <c r="B545" s="77" t="s">
        <v>213</v>
      </c>
      <c r="C545" s="13"/>
      <c r="D545" s="13"/>
      <c r="E545" s="13"/>
      <c r="F545" s="13"/>
      <c r="G545" s="13"/>
      <c r="H545" s="13"/>
      <c r="I545" s="13"/>
      <c r="J545" s="13"/>
      <c r="X545" s="326"/>
    </row>
    <row r="546" spans="2:24" ht="15" hidden="1">
      <c r="B546" s="13" t="s">
        <v>214</v>
      </c>
      <c r="C546" s="13"/>
      <c r="D546" s="13"/>
      <c r="E546" s="13"/>
      <c r="F546" s="13"/>
      <c r="G546" s="13"/>
      <c r="H546" s="13"/>
      <c r="I546" s="13"/>
      <c r="J546" s="13"/>
      <c r="X546" s="326"/>
    </row>
    <row r="547" spans="2:24" ht="15" hidden="1">
      <c r="B547" s="13" t="s">
        <v>215</v>
      </c>
      <c r="C547" s="13"/>
      <c r="D547" s="13"/>
      <c r="E547" s="13"/>
      <c r="F547" s="13"/>
      <c r="G547" s="13"/>
      <c r="H547" s="13"/>
      <c r="I547" s="13"/>
      <c r="J547" s="13"/>
      <c r="X547" s="326"/>
    </row>
    <row r="548" spans="2:24" ht="15" hidden="1">
      <c r="B548" s="13" t="s">
        <v>216</v>
      </c>
      <c r="C548" s="13"/>
      <c r="D548" s="13"/>
      <c r="E548" s="13"/>
      <c r="F548" s="13"/>
      <c r="G548" s="13"/>
      <c r="H548" s="13"/>
      <c r="I548" s="13"/>
      <c r="J548" s="13"/>
      <c r="X548" s="326"/>
    </row>
    <row r="549" spans="2:24" ht="15" hidden="1">
      <c r="B549" s="13"/>
      <c r="C549" s="13"/>
      <c r="D549" s="13"/>
      <c r="E549" s="13"/>
      <c r="F549" s="13"/>
      <c r="G549" s="13"/>
      <c r="H549" s="13"/>
      <c r="I549" s="13"/>
      <c r="J549" s="13"/>
      <c r="X549" s="326"/>
    </row>
    <row r="550" spans="2:24" ht="15" hidden="1">
      <c r="B550" s="13" t="s">
        <v>217</v>
      </c>
      <c r="C550" s="13"/>
      <c r="D550" s="13"/>
      <c r="E550" s="13"/>
      <c r="F550" s="13"/>
      <c r="G550" s="13"/>
      <c r="H550" s="17">
        <v>-717521</v>
      </c>
      <c r="I550" s="13"/>
      <c r="J550" s="13"/>
      <c r="X550" s="326"/>
    </row>
    <row r="551" spans="2:24" ht="15" hidden="1">
      <c r="B551" s="13" t="s">
        <v>218</v>
      </c>
      <c r="C551" s="13"/>
      <c r="D551" s="13"/>
      <c r="E551" s="13"/>
      <c r="F551" s="13"/>
      <c r="G551" s="13"/>
      <c r="H551" s="170">
        <v>-18486776</v>
      </c>
      <c r="I551" s="13"/>
      <c r="J551" s="13"/>
      <c r="X551" s="326"/>
    </row>
    <row r="552" spans="2:24" ht="17.25" customHeight="1" hidden="1">
      <c r="B552" s="13" t="s">
        <v>219</v>
      </c>
      <c r="C552" s="13"/>
      <c r="D552" s="13"/>
      <c r="E552" s="13"/>
      <c r="F552" s="13"/>
      <c r="G552" s="13"/>
      <c r="H552" s="171">
        <v>26952298</v>
      </c>
      <c r="I552" s="171"/>
      <c r="J552" s="171"/>
      <c r="X552" s="326"/>
    </row>
    <row r="553" spans="2:24" ht="15" hidden="1">
      <c r="B553" s="13" t="s">
        <v>220</v>
      </c>
      <c r="C553" s="13"/>
      <c r="D553" s="13"/>
      <c r="E553" s="13"/>
      <c r="F553" s="13"/>
      <c r="G553" s="13"/>
      <c r="H553" s="172">
        <v>25001422</v>
      </c>
      <c r="I553" s="172"/>
      <c r="J553" s="172"/>
      <c r="X553" s="326"/>
    </row>
    <row r="554" spans="2:24" ht="15" hidden="1">
      <c r="B554" s="13" t="s">
        <v>221</v>
      </c>
      <c r="C554" s="13"/>
      <c r="D554" s="13"/>
      <c r="E554" s="13"/>
      <c r="F554" s="13"/>
      <c r="G554" s="13"/>
      <c r="H554" s="173">
        <v>24599237</v>
      </c>
      <c r="I554" s="173"/>
      <c r="J554" s="173"/>
      <c r="X554" s="326"/>
    </row>
    <row r="555" spans="2:24" ht="15" hidden="1">
      <c r="B555" s="13" t="s">
        <v>222</v>
      </c>
      <c r="C555" s="13"/>
      <c r="D555" s="13"/>
      <c r="E555" s="13"/>
      <c r="F555" s="13"/>
      <c r="G555" s="13"/>
      <c r="H555" s="173">
        <v>-2266914</v>
      </c>
      <c r="I555" s="173"/>
      <c r="J555" s="173"/>
      <c r="X555" s="326"/>
    </row>
    <row r="556" spans="2:24" ht="15" hidden="1">
      <c r="B556" s="13" t="s">
        <v>223</v>
      </c>
      <c r="C556" s="13"/>
      <c r="D556" s="13"/>
      <c r="E556" s="13"/>
      <c r="F556" s="13"/>
      <c r="G556" s="13"/>
      <c r="H556" s="173">
        <v>-28089207</v>
      </c>
      <c r="I556" s="173"/>
      <c r="J556" s="173"/>
      <c r="X556" s="326"/>
    </row>
    <row r="557" spans="2:24" ht="15" hidden="1">
      <c r="B557" s="13" t="s">
        <v>224</v>
      </c>
      <c r="C557" s="13"/>
      <c r="D557" s="13"/>
      <c r="E557" s="13"/>
      <c r="F557" s="13"/>
      <c r="G557" s="13"/>
      <c r="H557" s="173">
        <v>-67004676</v>
      </c>
      <c r="I557" s="174"/>
      <c r="J557" s="174"/>
      <c r="X557" s="326"/>
    </row>
    <row r="558" spans="2:24" ht="15.75" hidden="1" thickBot="1">
      <c r="B558" s="13"/>
      <c r="C558" s="13"/>
      <c r="D558" s="13"/>
      <c r="E558" s="13"/>
      <c r="F558" s="13"/>
      <c r="G558" s="13"/>
      <c r="H558" s="8">
        <f>SUM(H550:H557)</f>
        <v>-40012137</v>
      </c>
      <c r="I558" s="20"/>
      <c r="J558" s="20"/>
      <c r="K558" s="8"/>
      <c r="X558" s="326"/>
    </row>
    <row r="559" ht="15" hidden="1">
      <c r="X559" s="326"/>
    </row>
    <row r="560" ht="15" hidden="1">
      <c r="X560" s="326"/>
    </row>
    <row r="561" spans="2:24" ht="16.5" hidden="1">
      <c r="B561" s="77" t="s">
        <v>213</v>
      </c>
      <c r="X561" s="326"/>
    </row>
    <row r="562" spans="2:24" ht="15" hidden="1">
      <c r="B562" s="13" t="s">
        <v>225</v>
      </c>
      <c r="X562" s="326"/>
    </row>
    <row r="563" ht="15" hidden="1">
      <c r="X563" s="326"/>
    </row>
    <row r="564" spans="2:24" ht="15.75" hidden="1">
      <c r="B564" s="21" t="s">
        <v>226</v>
      </c>
      <c r="C564" s="13"/>
      <c r="D564" s="13"/>
      <c r="E564" s="22" t="s">
        <v>227</v>
      </c>
      <c r="F564" s="22"/>
      <c r="G564" s="22" t="s">
        <v>227</v>
      </c>
      <c r="H564" s="22" t="s">
        <v>228</v>
      </c>
      <c r="I564" s="22"/>
      <c r="J564" s="22"/>
      <c r="X564" s="326"/>
    </row>
    <row r="565" spans="2:24" ht="15.75" hidden="1">
      <c r="B565" s="13"/>
      <c r="C565" s="13"/>
      <c r="D565" s="13"/>
      <c r="E565" s="23" t="s">
        <v>229</v>
      </c>
      <c r="F565" s="23"/>
      <c r="G565" s="23" t="s">
        <v>230</v>
      </c>
      <c r="H565" s="23" t="s">
        <v>231</v>
      </c>
      <c r="I565" s="23"/>
      <c r="J565" s="23"/>
      <c r="X565" s="326"/>
    </row>
    <row r="566" spans="2:24" ht="15" hidden="1">
      <c r="B566" s="13" t="s">
        <v>232</v>
      </c>
      <c r="C566" s="13"/>
      <c r="D566" s="13"/>
      <c r="E566" s="24">
        <v>781326</v>
      </c>
      <c r="F566" s="25"/>
      <c r="G566" s="24">
        <v>1140663</v>
      </c>
      <c r="H566" s="25">
        <f>+E566-G566</f>
        <v>-359337</v>
      </c>
      <c r="I566" s="25"/>
      <c r="J566" s="25"/>
      <c r="X566" s="326"/>
    </row>
    <row r="567" spans="2:24" ht="15" hidden="1">
      <c r="B567" s="13" t="s">
        <v>233</v>
      </c>
      <c r="C567" s="13"/>
      <c r="D567" s="13"/>
      <c r="E567" s="24">
        <v>918262</v>
      </c>
      <c r="F567" s="25"/>
      <c r="G567" s="24">
        <v>859131</v>
      </c>
      <c r="H567" s="25">
        <f aca="true" t="shared" si="0" ref="H567:H577">+E567-G567</f>
        <v>59131</v>
      </c>
      <c r="I567" s="25"/>
      <c r="J567" s="25"/>
      <c r="X567" s="326"/>
    </row>
    <row r="568" spans="2:24" ht="15" hidden="1">
      <c r="B568" s="13" t="s">
        <v>234</v>
      </c>
      <c r="C568" s="13"/>
      <c r="D568" s="13"/>
      <c r="E568" s="24">
        <v>1123034</v>
      </c>
      <c r="F568" s="25"/>
      <c r="G568" s="24">
        <v>1021517</v>
      </c>
      <c r="H568" s="25">
        <f t="shared" si="0"/>
        <v>101517</v>
      </c>
      <c r="I568" s="25"/>
      <c r="J568" s="25"/>
      <c r="X568" s="326"/>
    </row>
    <row r="569" spans="2:24" ht="15" hidden="1">
      <c r="B569" s="13" t="s">
        <v>235</v>
      </c>
      <c r="C569" s="13"/>
      <c r="D569" s="13"/>
      <c r="E569" s="24">
        <v>885306</v>
      </c>
      <c r="F569" s="25"/>
      <c r="G569" s="24">
        <v>442653</v>
      </c>
      <c r="H569" s="25">
        <f t="shared" si="0"/>
        <v>442653</v>
      </c>
      <c r="I569" s="25"/>
      <c r="J569" s="25"/>
      <c r="X569" s="326"/>
    </row>
    <row r="570" spans="2:24" ht="15" hidden="1">
      <c r="B570" s="13" t="s">
        <v>236</v>
      </c>
      <c r="C570" s="13"/>
      <c r="D570" s="13"/>
      <c r="E570" s="24">
        <v>979398</v>
      </c>
      <c r="F570" s="25"/>
      <c r="G570" s="24">
        <v>1493852</v>
      </c>
      <c r="H570" s="25">
        <f t="shared" si="0"/>
        <v>-514454</v>
      </c>
      <c r="I570" s="25"/>
      <c r="J570" s="25"/>
      <c r="X570" s="326"/>
    </row>
    <row r="571" spans="2:24" ht="15" hidden="1">
      <c r="B571" s="13" t="s">
        <v>237</v>
      </c>
      <c r="C571" s="13"/>
      <c r="D571" s="13"/>
      <c r="E571" s="24">
        <v>998408</v>
      </c>
      <c r="F571" s="25"/>
      <c r="G571" s="24">
        <v>992604</v>
      </c>
      <c r="H571" s="25">
        <f t="shared" si="0"/>
        <v>5804</v>
      </c>
      <c r="I571" s="25"/>
      <c r="J571" s="25"/>
      <c r="X571" s="326"/>
    </row>
    <row r="572" spans="2:24" ht="15" hidden="1">
      <c r="B572" s="13" t="s">
        <v>238</v>
      </c>
      <c r="C572" s="13"/>
      <c r="D572" s="13"/>
      <c r="E572" s="24">
        <v>985396</v>
      </c>
      <c r="F572" s="25"/>
      <c r="G572" s="24">
        <v>992698</v>
      </c>
      <c r="H572" s="25">
        <f t="shared" si="0"/>
        <v>-7302</v>
      </c>
      <c r="I572" s="25"/>
      <c r="J572" s="25"/>
      <c r="X572" s="326"/>
    </row>
    <row r="573" spans="2:24" ht="15" hidden="1">
      <c r="B573" s="13" t="s">
        <v>239</v>
      </c>
      <c r="C573" s="13"/>
      <c r="D573" s="13"/>
      <c r="E573" s="24">
        <v>1005228</v>
      </c>
      <c r="F573" s="25"/>
      <c r="G573" s="24">
        <v>1002614</v>
      </c>
      <c r="H573" s="25">
        <f t="shared" si="0"/>
        <v>2614</v>
      </c>
      <c r="I573" s="25"/>
      <c r="J573" s="25"/>
      <c r="X573" s="326"/>
    </row>
    <row r="574" spans="2:24" ht="15" hidden="1">
      <c r="B574" s="13" t="s">
        <v>240</v>
      </c>
      <c r="C574" s="13"/>
      <c r="D574" s="13"/>
      <c r="E574" s="24">
        <v>1068248</v>
      </c>
      <c r="F574" s="25"/>
      <c r="G574" s="24">
        <v>1036738</v>
      </c>
      <c r="H574" s="25">
        <f t="shared" si="0"/>
        <v>31510</v>
      </c>
      <c r="I574" s="25"/>
      <c r="J574" s="25"/>
      <c r="X574" s="326"/>
    </row>
    <row r="575" spans="2:24" ht="15" hidden="1">
      <c r="B575" s="13" t="s">
        <v>241</v>
      </c>
      <c r="C575" s="13"/>
      <c r="D575" s="13"/>
      <c r="E575" s="24">
        <v>993330</v>
      </c>
      <c r="F575" s="25"/>
      <c r="G575" s="24">
        <v>1030798</v>
      </c>
      <c r="H575" s="25">
        <f t="shared" si="0"/>
        <v>-37468</v>
      </c>
      <c r="I575" s="25"/>
      <c r="J575" s="25"/>
      <c r="X575" s="326"/>
    </row>
    <row r="576" spans="2:24" ht="15" hidden="1">
      <c r="B576" s="13" t="s">
        <v>242</v>
      </c>
      <c r="C576" s="13"/>
      <c r="D576" s="13"/>
      <c r="E576" s="24">
        <v>1036456</v>
      </c>
      <c r="F576" s="25"/>
      <c r="G576" s="24">
        <v>1014893</v>
      </c>
      <c r="H576" s="25">
        <f t="shared" si="0"/>
        <v>21563</v>
      </c>
      <c r="I576" s="25"/>
      <c r="J576" s="25"/>
      <c r="X576" s="326"/>
    </row>
    <row r="577" spans="2:24" ht="15" hidden="1">
      <c r="B577" s="13" t="s">
        <v>243</v>
      </c>
      <c r="C577" s="13"/>
      <c r="D577" s="13"/>
      <c r="E577" s="24">
        <v>908952</v>
      </c>
      <c r="F577" s="25"/>
      <c r="G577" s="24">
        <v>1372704</v>
      </c>
      <c r="H577" s="25">
        <f t="shared" si="0"/>
        <v>-463752</v>
      </c>
      <c r="I577" s="25"/>
      <c r="J577" s="25"/>
      <c r="X577" s="326"/>
    </row>
    <row r="578" spans="2:24" ht="16.5" hidden="1" thickBot="1">
      <c r="B578" s="26" t="s">
        <v>148</v>
      </c>
      <c r="C578" s="13"/>
      <c r="D578" s="13"/>
      <c r="E578" s="27">
        <f>SUM(E566:E577)</f>
        <v>11683344</v>
      </c>
      <c r="F578" s="25"/>
      <c r="G578" s="27">
        <f>SUM(G566:G577)</f>
        <v>12400865</v>
      </c>
      <c r="H578" s="28">
        <f>SUM(H566:H577)</f>
        <v>-717521</v>
      </c>
      <c r="I578" s="29"/>
      <c r="J578" s="29"/>
      <c r="X578" s="326"/>
    </row>
    <row r="579" spans="5:24" ht="15" hidden="1">
      <c r="E579" s="167"/>
      <c r="F579" s="167"/>
      <c r="G579" s="167"/>
      <c r="H579" s="167"/>
      <c r="I579" s="167"/>
      <c r="J579" s="167"/>
      <c r="X579" s="326"/>
    </row>
    <row r="580" spans="5:24" ht="15" hidden="1">
      <c r="E580" s="167"/>
      <c r="F580" s="167"/>
      <c r="G580" s="167"/>
      <c r="H580" s="167"/>
      <c r="I580" s="167"/>
      <c r="J580" s="167"/>
      <c r="X580" s="326"/>
    </row>
    <row r="581" spans="5:24" ht="15" hidden="1">
      <c r="E581" s="167"/>
      <c r="F581" s="167"/>
      <c r="G581" s="167"/>
      <c r="H581" s="167"/>
      <c r="I581" s="167"/>
      <c r="J581" s="167"/>
      <c r="X581" s="326"/>
    </row>
    <row r="582" ht="15" hidden="1">
      <c r="X582" s="326"/>
    </row>
    <row r="583" ht="15" hidden="1">
      <c r="X583" s="326"/>
    </row>
    <row r="584" ht="15" hidden="1">
      <c r="X584" s="326"/>
    </row>
    <row r="585" ht="15" hidden="1">
      <c r="X585" s="326"/>
    </row>
    <row r="586" ht="15" hidden="1">
      <c r="X586" s="326"/>
    </row>
    <row r="587" ht="15" hidden="1">
      <c r="X587" s="326"/>
    </row>
    <row r="588" ht="15" hidden="1">
      <c r="X588" s="326"/>
    </row>
    <row r="589" ht="15" hidden="1">
      <c r="X589" s="326"/>
    </row>
    <row r="590" ht="15" hidden="1">
      <c r="X590" s="326"/>
    </row>
    <row r="591" ht="15" hidden="1">
      <c r="X591" s="326"/>
    </row>
    <row r="592" ht="15" hidden="1">
      <c r="X592" s="326"/>
    </row>
    <row r="593" ht="15" hidden="1">
      <c r="X593" s="326"/>
    </row>
    <row r="594" ht="15" hidden="1">
      <c r="X594" s="326"/>
    </row>
    <row r="595" ht="15" hidden="1">
      <c r="X595" s="326"/>
    </row>
    <row r="596" ht="15" hidden="1">
      <c r="X596" s="326"/>
    </row>
    <row r="597" ht="15" hidden="1">
      <c r="X597" s="326"/>
    </row>
    <row r="598" ht="15" hidden="1">
      <c r="X598" s="326"/>
    </row>
    <row r="599" ht="15" hidden="1">
      <c r="X599" s="326"/>
    </row>
    <row r="600" ht="15" hidden="1">
      <c r="X600" s="326"/>
    </row>
    <row r="601" ht="15" hidden="1">
      <c r="X601" s="326"/>
    </row>
    <row r="602" ht="15" hidden="1">
      <c r="X602" s="326"/>
    </row>
    <row r="603" ht="15" hidden="1">
      <c r="X603" s="326"/>
    </row>
    <row r="604" ht="15" hidden="1">
      <c r="X604" s="326"/>
    </row>
    <row r="605" ht="15" hidden="1">
      <c r="X605" s="326"/>
    </row>
    <row r="606" ht="15" hidden="1">
      <c r="X606" s="326"/>
    </row>
    <row r="607" ht="15" hidden="1">
      <c r="X607" s="326"/>
    </row>
    <row r="608" ht="15" hidden="1">
      <c r="X608" s="326"/>
    </row>
    <row r="609" ht="15">
      <c r="X609" s="326"/>
    </row>
    <row r="610" spans="15:24" ht="15">
      <c r="O610" s="494" t="s">
        <v>665</v>
      </c>
      <c r="P610" s="494"/>
      <c r="Q610" s="249"/>
      <c r="X610" s="326"/>
    </row>
    <row r="611" spans="2:24" ht="18.75">
      <c r="B611" s="117" t="s">
        <v>651</v>
      </c>
      <c r="C611" s="139"/>
      <c r="D611" s="139"/>
      <c r="E611" s="139"/>
      <c r="F611" s="13"/>
      <c r="G611" s="13"/>
      <c r="H611" s="13"/>
      <c r="O611" s="118">
        <v>2021</v>
      </c>
      <c r="P611" s="118">
        <v>2020</v>
      </c>
      <c r="Q611" s="118">
        <v>2019</v>
      </c>
      <c r="T611" s="335">
        <v>2018</v>
      </c>
      <c r="U611" s="335">
        <v>2017</v>
      </c>
      <c r="V611" s="340"/>
      <c r="W611" s="340"/>
      <c r="X611" s="335">
        <v>2016</v>
      </c>
    </row>
    <row r="612" spans="2:24" ht="20.25">
      <c r="B612" s="208" t="s">
        <v>179</v>
      </c>
      <c r="C612" s="139"/>
      <c r="D612" s="139"/>
      <c r="E612" s="139"/>
      <c r="F612" s="13"/>
      <c r="G612" s="13"/>
      <c r="H612" s="13"/>
      <c r="X612" s="326"/>
    </row>
    <row r="613" spans="2:24" ht="15">
      <c r="B613" s="13" t="s">
        <v>180</v>
      </c>
      <c r="C613" s="13"/>
      <c r="D613" s="13"/>
      <c r="E613" s="13"/>
      <c r="F613" s="13"/>
      <c r="G613" s="13"/>
      <c r="H613" s="13"/>
      <c r="X613" s="326"/>
    </row>
    <row r="614" spans="2:24" ht="15">
      <c r="B614" s="13"/>
      <c r="C614" s="13"/>
      <c r="D614" s="13"/>
      <c r="E614" s="13"/>
      <c r="F614" s="13"/>
      <c r="G614" s="13"/>
      <c r="H614" s="13"/>
      <c r="X614" s="326"/>
    </row>
    <row r="615" spans="1:24" ht="15.75">
      <c r="A615" s="4" t="s">
        <v>97</v>
      </c>
      <c r="B615" s="65" t="s">
        <v>181</v>
      </c>
      <c r="C615" s="13"/>
      <c r="D615" s="13"/>
      <c r="E615" s="13"/>
      <c r="F615" s="13"/>
      <c r="G615" s="13"/>
      <c r="H615" s="31">
        <f>793245.34-0.1</f>
        <v>793245.24</v>
      </c>
      <c r="I615" s="175"/>
      <c r="J615" s="175"/>
      <c r="O615" s="226">
        <v>7549.29</v>
      </c>
      <c r="P615" s="80">
        <v>43058.41</v>
      </c>
      <c r="Q615" s="80">
        <v>2335566.3</v>
      </c>
      <c r="T615" s="122">
        <v>1673757.94</v>
      </c>
      <c r="X615" s="326"/>
    </row>
    <row r="616" spans="2:24" ht="15.75">
      <c r="B616" s="65" t="s">
        <v>485</v>
      </c>
      <c r="C616" s="65"/>
      <c r="D616" s="65"/>
      <c r="E616" s="65"/>
      <c r="F616" s="65"/>
      <c r="G616" s="65"/>
      <c r="H616" s="66">
        <v>598703.81</v>
      </c>
      <c r="I616" s="120"/>
      <c r="J616" s="120"/>
      <c r="K616" s="120"/>
      <c r="L616" s="120"/>
      <c r="M616" s="120"/>
      <c r="N616" s="120"/>
      <c r="O616" s="226">
        <v>680980.48</v>
      </c>
      <c r="P616" s="80">
        <v>504278</v>
      </c>
      <c r="Q616" s="80">
        <v>956395.64</v>
      </c>
      <c r="R616" s="123"/>
      <c r="S616" s="123"/>
      <c r="T616" s="122">
        <v>773909.26</v>
      </c>
      <c r="U616" s="122">
        <v>499750.62</v>
      </c>
      <c r="V616" s="123"/>
      <c r="W616" s="123"/>
      <c r="X616" s="122">
        <v>487148.64</v>
      </c>
    </row>
    <row r="617" spans="2:24" ht="15.75" hidden="1">
      <c r="B617" s="65" t="s">
        <v>271</v>
      </c>
      <c r="C617" s="65"/>
      <c r="D617" s="65"/>
      <c r="E617" s="65"/>
      <c r="F617" s="65"/>
      <c r="G617" s="65"/>
      <c r="H617" s="66">
        <f>136369.28+4237.29</f>
        <v>140606.57</v>
      </c>
      <c r="I617" s="120"/>
      <c r="J617" s="120"/>
      <c r="K617" s="120"/>
      <c r="L617" s="120"/>
      <c r="M617" s="120"/>
      <c r="N617" s="120"/>
      <c r="O617" s="136"/>
      <c r="P617" s="120"/>
      <c r="Q617" s="80">
        <v>76694.14</v>
      </c>
      <c r="R617" s="123"/>
      <c r="S617" s="123"/>
      <c r="T617" s="122">
        <v>78629.06</v>
      </c>
      <c r="U617" s="122">
        <v>130607.84</v>
      </c>
      <c r="V617" s="123"/>
      <c r="W617" s="123"/>
      <c r="X617" s="122">
        <v>102198.08</v>
      </c>
    </row>
    <row r="618" spans="2:24" ht="15.75">
      <c r="B618" s="65" t="s">
        <v>269</v>
      </c>
      <c r="C618" s="65"/>
      <c r="D618" s="65"/>
      <c r="E618" s="65"/>
      <c r="F618" s="65"/>
      <c r="G618" s="65"/>
      <c r="H618" s="66"/>
      <c r="I618" s="136"/>
      <c r="J618" s="120"/>
      <c r="K618" s="120"/>
      <c r="L618" s="120"/>
      <c r="M618" s="120"/>
      <c r="N618" s="120"/>
      <c r="O618" s="226">
        <v>423.73</v>
      </c>
      <c r="P618" s="80">
        <v>423.73</v>
      </c>
      <c r="Q618" s="80">
        <v>423.73</v>
      </c>
      <c r="R618" s="123"/>
      <c r="S618" s="123"/>
      <c r="T618" s="122">
        <v>423.73</v>
      </c>
      <c r="U618" s="122">
        <v>423.73</v>
      </c>
      <c r="V618" s="123"/>
      <c r="W618" s="123"/>
      <c r="X618" s="122">
        <v>423.73</v>
      </c>
    </row>
    <row r="619" spans="2:24" ht="15.75" hidden="1">
      <c r="B619" s="65" t="s">
        <v>513</v>
      </c>
      <c r="C619" s="120"/>
      <c r="D619" s="120"/>
      <c r="E619" s="120"/>
      <c r="F619" s="120"/>
      <c r="G619" s="120"/>
      <c r="H619" s="120"/>
      <c r="I619" s="120"/>
      <c r="J619" s="120"/>
      <c r="K619" s="120"/>
      <c r="L619" s="120"/>
      <c r="M619" s="120"/>
      <c r="N619" s="120"/>
      <c r="O619" s="226"/>
      <c r="P619" s="80"/>
      <c r="Q619" s="80">
        <v>31600</v>
      </c>
      <c r="R619" s="123"/>
      <c r="S619" s="123"/>
      <c r="T619" s="122">
        <v>11110</v>
      </c>
      <c r="U619" s="122">
        <v>28250</v>
      </c>
      <c r="V619" s="123"/>
      <c r="W619" s="123"/>
      <c r="X619" s="122">
        <v>25400</v>
      </c>
    </row>
    <row r="620" spans="2:24" ht="15.75" hidden="1">
      <c r="B620" s="65" t="s">
        <v>185</v>
      </c>
      <c r="C620" s="65"/>
      <c r="D620" s="65"/>
      <c r="E620" s="65"/>
      <c r="F620" s="65"/>
      <c r="G620" s="65"/>
      <c r="H620" s="66"/>
      <c r="I620" s="120"/>
      <c r="J620" s="120"/>
      <c r="K620" s="120"/>
      <c r="L620" s="120"/>
      <c r="M620" s="120"/>
      <c r="N620" s="120"/>
      <c r="O620" s="136"/>
      <c r="P620" s="120"/>
      <c r="Q620" s="80"/>
      <c r="R620" s="123"/>
      <c r="S620" s="123"/>
      <c r="T620" s="122"/>
      <c r="U620" s="122"/>
      <c r="V620" s="123"/>
      <c r="W620" s="123"/>
      <c r="X620" s="122"/>
    </row>
    <row r="621" spans="2:24" ht="15.75" hidden="1">
      <c r="B621" s="65" t="s">
        <v>190</v>
      </c>
      <c r="C621" s="65"/>
      <c r="D621" s="65"/>
      <c r="E621" s="65"/>
      <c r="F621" s="65"/>
      <c r="G621" s="65"/>
      <c r="H621" s="66"/>
      <c r="I621" s="120"/>
      <c r="J621" s="120"/>
      <c r="K621" s="120"/>
      <c r="L621" s="120"/>
      <c r="M621" s="120"/>
      <c r="N621" s="120"/>
      <c r="O621" s="226"/>
      <c r="P621" s="80"/>
      <c r="Q621" s="80">
        <v>1429.25</v>
      </c>
      <c r="R621" s="123"/>
      <c r="S621" s="123"/>
      <c r="T621" s="122">
        <v>691.15</v>
      </c>
      <c r="U621" s="122">
        <v>172.45</v>
      </c>
      <c r="V621" s="123"/>
      <c r="W621" s="123"/>
      <c r="X621" s="122">
        <v>172.45</v>
      </c>
    </row>
    <row r="622" spans="2:24" ht="15.75">
      <c r="B622" s="65" t="s">
        <v>186</v>
      </c>
      <c r="C622" s="65"/>
      <c r="D622" s="65"/>
      <c r="E622" s="65"/>
      <c r="F622" s="65"/>
      <c r="G622" s="65"/>
      <c r="H622" s="81">
        <v>400</v>
      </c>
      <c r="I622" s="120"/>
      <c r="J622" s="120"/>
      <c r="K622" s="120"/>
      <c r="L622" s="120"/>
      <c r="M622" s="120"/>
      <c r="N622" s="120"/>
      <c r="O622" s="226"/>
      <c r="P622" s="80">
        <v>400</v>
      </c>
      <c r="Q622" s="80"/>
      <c r="R622" s="123"/>
      <c r="S622" s="123"/>
      <c r="T622" s="122">
        <v>300</v>
      </c>
      <c r="U622" s="122"/>
      <c r="V622" s="123"/>
      <c r="W622" s="123"/>
      <c r="X622" s="122"/>
    </row>
    <row r="623" spans="2:24" ht="15.75" hidden="1">
      <c r="B623" s="65" t="s">
        <v>187</v>
      </c>
      <c r="C623" s="65"/>
      <c r="D623" s="65"/>
      <c r="E623" s="65"/>
      <c r="F623" s="65"/>
      <c r="G623" s="65"/>
      <c r="H623" s="66"/>
      <c r="I623" s="120"/>
      <c r="J623" s="120"/>
      <c r="K623" s="120"/>
      <c r="L623" s="120"/>
      <c r="M623" s="120"/>
      <c r="N623" s="120"/>
      <c r="O623" s="136"/>
      <c r="P623" s="120"/>
      <c r="Q623" s="80"/>
      <c r="R623" s="123"/>
      <c r="S623" s="123"/>
      <c r="T623" s="122"/>
      <c r="U623" s="122"/>
      <c r="V623" s="123"/>
      <c r="W623" s="123"/>
      <c r="X623" s="122"/>
    </row>
    <row r="624" spans="2:24" ht="15.75">
      <c r="B624" s="65" t="s">
        <v>270</v>
      </c>
      <c r="C624" s="65"/>
      <c r="D624" s="65"/>
      <c r="E624" s="65"/>
      <c r="F624" s="65"/>
      <c r="G624" s="65"/>
      <c r="H624" s="66">
        <v>680799.35</v>
      </c>
      <c r="I624" s="120"/>
      <c r="J624" s="120"/>
      <c r="K624" s="120"/>
      <c r="L624" s="120"/>
      <c r="M624" s="120"/>
      <c r="N624" s="120"/>
      <c r="O624" s="226">
        <v>255962.14</v>
      </c>
      <c r="P624" s="80">
        <v>289379.79</v>
      </c>
      <c r="Q624" s="80">
        <v>288901.43</v>
      </c>
      <c r="R624" s="123"/>
      <c r="S624" s="123"/>
      <c r="T624" s="122">
        <v>358486.19</v>
      </c>
      <c r="U624" s="122">
        <f>1053992.55-659437.66</f>
        <v>394554.89</v>
      </c>
      <c r="V624" s="123"/>
      <c r="W624" s="123"/>
      <c r="X624" s="122">
        <f>-1883589.72+2344899.77</f>
        <v>461310.05000000005</v>
      </c>
    </row>
    <row r="625" spans="2:24" ht="15.75">
      <c r="B625" s="65" t="s">
        <v>191</v>
      </c>
      <c r="C625" s="65"/>
      <c r="D625" s="65"/>
      <c r="E625" s="65"/>
      <c r="F625" s="65"/>
      <c r="G625" s="65"/>
      <c r="H625" s="66">
        <v>96783.91</v>
      </c>
      <c r="I625" s="120"/>
      <c r="J625" s="120"/>
      <c r="K625" s="120"/>
      <c r="L625" s="120"/>
      <c r="M625" s="120"/>
      <c r="N625" s="120"/>
      <c r="O625" s="226"/>
      <c r="P625" s="80">
        <v>86831.73</v>
      </c>
      <c r="Q625" s="80"/>
      <c r="R625" s="123"/>
      <c r="S625" s="123"/>
      <c r="T625" s="122">
        <v>167317.49</v>
      </c>
      <c r="U625" s="122"/>
      <c r="V625" s="123"/>
      <c r="W625" s="123"/>
      <c r="X625" s="122"/>
    </row>
    <row r="626" spans="1:24" ht="15.75">
      <c r="A626" s="176" t="s">
        <v>97</v>
      </c>
      <c r="B626" s="65" t="s">
        <v>679</v>
      </c>
      <c r="C626" s="65"/>
      <c r="D626" s="65"/>
      <c r="E626" s="65"/>
      <c r="F626" s="65"/>
      <c r="G626" s="65"/>
      <c r="H626" s="66"/>
      <c r="I626" s="120"/>
      <c r="J626" s="120"/>
      <c r="K626" s="120"/>
      <c r="L626" s="120"/>
      <c r="M626" s="120"/>
      <c r="N626" s="120"/>
      <c r="O626" s="226">
        <v>39450.71</v>
      </c>
      <c r="P626" s="80">
        <v>49826.67</v>
      </c>
      <c r="Q626" s="80"/>
      <c r="R626" s="123"/>
      <c r="S626" s="123"/>
      <c r="T626" s="122"/>
      <c r="U626" s="122"/>
      <c r="V626" s="123"/>
      <c r="W626" s="123"/>
      <c r="X626" s="122"/>
    </row>
    <row r="627" spans="1:24" ht="15.75">
      <c r="A627" s="176" t="s">
        <v>97</v>
      </c>
      <c r="B627" s="65" t="s">
        <v>193</v>
      </c>
      <c r="C627" s="65"/>
      <c r="D627" s="65"/>
      <c r="E627" s="65"/>
      <c r="F627" s="65"/>
      <c r="G627" s="65"/>
      <c r="H627" s="66"/>
      <c r="I627" s="120"/>
      <c r="J627" s="120"/>
      <c r="K627" s="120"/>
      <c r="L627" s="120"/>
      <c r="M627" s="120"/>
      <c r="N627" s="120"/>
      <c r="O627" s="226">
        <v>110910.63</v>
      </c>
      <c r="P627" s="120"/>
      <c r="Q627" s="80">
        <f>400+1746.68</f>
        <v>2146.6800000000003</v>
      </c>
      <c r="R627" s="123"/>
      <c r="S627" s="123"/>
      <c r="T627" s="122">
        <v>400</v>
      </c>
      <c r="U627" s="122"/>
      <c r="V627" s="123"/>
      <c r="W627" s="123"/>
      <c r="X627" s="122"/>
    </row>
    <row r="628" spans="2:24" ht="15.75" hidden="1">
      <c r="B628" s="65" t="s">
        <v>596</v>
      </c>
      <c r="C628" s="65"/>
      <c r="D628" s="65"/>
      <c r="E628" s="65"/>
      <c r="F628" s="65"/>
      <c r="G628" s="65"/>
      <c r="H628" s="66"/>
      <c r="I628" s="120"/>
      <c r="J628" s="120"/>
      <c r="K628" s="120"/>
      <c r="L628" s="120"/>
      <c r="M628" s="120"/>
      <c r="N628" s="120"/>
      <c r="O628" s="136"/>
      <c r="P628" s="120"/>
      <c r="Q628" s="80">
        <v>12240872.34</v>
      </c>
      <c r="R628" s="123"/>
      <c r="S628" s="123"/>
      <c r="T628" s="122">
        <v>8119286.78</v>
      </c>
      <c r="U628" s="122"/>
      <c r="V628" s="123"/>
      <c r="W628" s="123"/>
      <c r="X628" s="122"/>
    </row>
    <row r="629" spans="1:31" s="176" customFormat="1" ht="15.75">
      <c r="A629" s="176" t="s">
        <v>97</v>
      </c>
      <c r="B629" s="65" t="s">
        <v>732</v>
      </c>
      <c r="C629" s="65"/>
      <c r="D629" s="65"/>
      <c r="E629" s="65"/>
      <c r="F629" s="65"/>
      <c r="G629" s="65"/>
      <c r="H629" s="66"/>
      <c r="I629" s="136"/>
      <c r="J629" s="136"/>
      <c r="K629" s="136"/>
      <c r="L629" s="136"/>
      <c r="M629" s="136"/>
      <c r="N629" s="136"/>
      <c r="O629" s="226">
        <v>336800.85</v>
      </c>
      <c r="P629" s="136"/>
      <c r="Q629" s="226"/>
      <c r="R629" s="123"/>
      <c r="S629" s="123"/>
      <c r="T629" s="122"/>
      <c r="U629" s="122"/>
      <c r="V629" s="123"/>
      <c r="W629" s="123"/>
      <c r="X629" s="122"/>
      <c r="Y629" s="133"/>
      <c r="Z629" s="133"/>
      <c r="AA629" s="133"/>
      <c r="AB629" s="133"/>
      <c r="AC629" s="133"/>
      <c r="AD629" s="133"/>
      <c r="AE629" s="133"/>
    </row>
    <row r="630" spans="1:31" s="176" customFormat="1" ht="15.75">
      <c r="A630" s="176" t="s">
        <v>97</v>
      </c>
      <c r="B630" s="65" t="s">
        <v>733</v>
      </c>
      <c r="C630" s="65"/>
      <c r="D630" s="65"/>
      <c r="E630" s="65"/>
      <c r="F630" s="65"/>
      <c r="G630" s="65"/>
      <c r="H630" s="66"/>
      <c r="I630" s="136"/>
      <c r="J630" s="136"/>
      <c r="K630" s="136"/>
      <c r="L630" s="136"/>
      <c r="M630" s="136"/>
      <c r="N630" s="136"/>
      <c r="O630" s="226">
        <v>403659.68</v>
      </c>
      <c r="P630" s="136"/>
      <c r="Q630" s="226"/>
      <c r="R630" s="123"/>
      <c r="S630" s="123"/>
      <c r="T630" s="122"/>
      <c r="U630" s="122"/>
      <c r="V630" s="123"/>
      <c r="W630" s="123"/>
      <c r="X630" s="122"/>
      <c r="Y630" s="133"/>
      <c r="Z630" s="133"/>
      <c r="AA630" s="133"/>
      <c r="AB630" s="133"/>
      <c r="AC630" s="133"/>
      <c r="AD630" s="133"/>
      <c r="AE630" s="133"/>
    </row>
    <row r="631" spans="2:24" ht="15.75">
      <c r="B631" s="65" t="s">
        <v>176</v>
      </c>
      <c r="C631" s="65"/>
      <c r="D631" s="65"/>
      <c r="E631" s="65"/>
      <c r="F631" s="65"/>
      <c r="G631" s="65"/>
      <c r="H631" s="66">
        <v>7188.77</v>
      </c>
      <c r="I631" s="120"/>
      <c r="J631" s="120"/>
      <c r="K631" s="120"/>
      <c r="L631" s="120"/>
      <c r="M631" s="120"/>
      <c r="N631" s="120"/>
      <c r="O631" s="226"/>
      <c r="P631" s="80">
        <v>349647.65</v>
      </c>
      <c r="Q631" s="80"/>
      <c r="R631" s="123"/>
      <c r="S631" s="123"/>
      <c r="T631" s="122">
        <v>907266.18</v>
      </c>
      <c r="U631" s="122"/>
      <c r="V631" s="123"/>
      <c r="W631" s="123"/>
      <c r="X631" s="122"/>
    </row>
    <row r="632" spans="1:31" s="176" customFormat="1" ht="15.75">
      <c r="A632" s="176" t="s">
        <v>97</v>
      </c>
      <c r="B632" s="65" t="s">
        <v>730</v>
      </c>
      <c r="C632" s="65"/>
      <c r="D632" s="65"/>
      <c r="E632" s="65"/>
      <c r="F632" s="65"/>
      <c r="G632" s="65"/>
      <c r="H632" s="66"/>
      <c r="I632" s="136"/>
      <c r="J632" s="136"/>
      <c r="K632" s="136"/>
      <c r="L632" s="136"/>
      <c r="M632" s="136"/>
      <c r="N632" s="136"/>
      <c r="O632" s="226">
        <v>120000</v>
      </c>
      <c r="P632" s="226"/>
      <c r="Q632" s="226"/>
      <c r="R632" s="123"/>
      <c r="S632" s="123"/>
      <c r="T632" s="122"/>
      <c r="U632" s="122"/>
      <c r="V632" s="123"/>
      <c r="W632" s="123"/>
      <c r="X632" s="122"/>
      <c r="Y632" s="133"/>
      <c r="Z632" s="133"/>
      <c r="AA632" s="133"/>
      <c r="AB632" s="133"/>
      <c r="AC632" s="133"/>
      <c r="AD632" s="133"/>
      <c r="AE632" s="133"/>
    </row>
    <row r="633" spans="2:24" ht="15.75">
      <c r="B633" s="65" t="s">
        <v>268</v>
      </c>
      <c r="C633" s="65"/>
      <c r="D633" s="65"/>
      <c r="E633" s="65"/>
      <c r="F633" s="65"/>
      <c r="G633" s="65"/>
      <c r="H633" s="66"/>
      <c r="I633" s="120"/>
      <c r="J633" s="120"/>
      <c r="K633" s="120"/>
      <c r="L633" s="120"/>
      <c r="M633" s="120"/>
      <c r="N633" s="120"/>
      <c r="O633" s="95">
        <v>45145</v>
      </c>
      <c r="P633" s="95">
        <v>2714</v>
      </c>
      <c r="Q633" s="80"/>
      <c r="R633" s="123"/>
      <c r="S633" s="123"/>
      <c r="T633" s="122"/>
      <c r="U633" s="122"/>
      <c r="V633" s="123"/>
      <c r="W633" s="123"/>
      <c r="X633" s="122"/>
    </row>
    <row r="634" spans="2:24" ht="15.75">
      <c r="B634" s="65" t="s">
        <v>177</v>
      </c>
      <c r="C634" s="65"/>
      <c r="D634" s="65"/>
      <c r="E634" s="65"/>
      <c r="F634" s="65"/>
      <c r="G634" s="65"/>
      <c r="H634" s="67">
        <v>136293</v>
      </c>
      <c r="I634" s="67"/>
      <c r="J634" s="67"/>
      <c r="K634" s="120"/>
      <c r="L634" s="120"/>
      <c r="M634" s="120"/>
      <c r="N634" s="120"/>
      <c r="O634" s="92">
        <v>131746</v>
      </c>
      <c r="P634" s="92">
        <v>214599</v>
      </c>
      <c r="Q634" s="92">
        <v>106633</v>
      </c>
      <c r="R634" s="123"/>
      <c r="S634" s="123"/>
      <c r="T634" s="322">
        <v>47029</v>
      </c>
      <c r="U634" s="322">
        <v>83549</v>
      </c>
      <c r="V634" s="123"/>
      <c r="W634" s="123"/>
      <c r="X634" s="322">
        <v>99285</v>
      </c>
    </row>
    <row r="635" spans="2:24" ht="19.5" thickBot="1">
      <c r="B635" s="77" t="s">
        <v>652</v>
      </c>
      <c r="C635" s="13"/>
      <c r="D635" s="13"/>
      <c r="E635" s="13"/>
      <c r="F635" s="13"/>
      <c r="G635" s="13"/>
      <c r="H635" s="47">
        <f>SUM(H615:H634)</f>
        <v>2454020.6500000004</v>
      </c>
      <c r="O635" s="233">
        <f>SUM(O615:O634)</f>
        <v>2132628.51</v>
      </c>
      <c r="P635" s="233">
        <f>SUM(P615:P634)</f>
        <v>1541158.98</v>
      </c>
      <c r="Q635" s="233">
        <f>SUM(Q615:Q634)</f>
        <v>16040662.51</v>
      </c>
      <c r="T635" s="361">
        <f>SUM(T615:T634)</f>
        <v>12138606.780000001</v>
      </c>
      <c r="U635" s="361">
        <f>SUM(U615:U634)</f>
        <v>1137308.5299999998</v>
      </c>
      <c r="X635" s="361">
        <f>SUM(X615:X634)</f>
        <v>1175937.95</v>
      </c>
    </row>
    <row r="636" ht="15.75" thickTop="1">
      <c r="X636" s="326"/>
    </row>
    <row r="637" spans="1:24" ht="15.75" hidden="1">
      <c r="A637" s="4" t="s">
        <v>97</v>
      </c>
      <c r="B637" s="65" t="s">
        <v>570</v>
      </c>
      <c r="X637" s="326"/>
    </row>
    <row r="638" spans="1:24" ht="15.75" hidden="1">
      <c r="A638" s="4" t="s">
        <v>97</v>
      </c>
      <c r="B638" s="65" t="s">
        <v>571</v>
      </c>
      <c r="X638" s="326"/>
    </row>
    <row r="639" spans="1:24" ht="15.75" hidden="1">
      <c r="A639" s="4" t="s">
        <v>97</v>
      </c>
      <c r="B639" s="65" t="s">
        <v>572</v>
      </c>
      <c r="X639" s="326"/>
    </row>
    <row r="640" spans="1:24" ht="15.75" hidden="1">
      <c r="A640" s="4" t="s">
        <v>97</v>
      </c>
      <c r="B640" s="65" t="s">
        <v>573</v>
      </c>
      <c r="X640" s="326"/>
    </row>
    <row r="641" spans="1:24" ht="15.75" hidden="1">
      <c r="A641" s="4" t="s">
        <v>97</v>
      </c>
      <c r="B641" s="65" t="s">
        <v>575</v>
      </c>
      <c r="X641" s="326"/>
    </row>
    <row r="642" spans="1:24" ht="15.75" hidden="1">
      <c r="A642" s="4" t="s">
        <v>97</v>
      </c>
      <c r="B642" s="65" t="s">
        <v>574</v>
      </c>
      <c r="X642" s="326"/>
    </row>
    <row r="643" spans="1:24" ht="15.75" hidden="1">
      <c r="A643" s="4" t="s">
        <v>97</v>
      </c>
      <c r="B643" s="65" t="s">
        <v>576</v>
      </c>
      <c r="X643" s="326"/>
    </row>
    <row r="644" spans="2:24" ht="15.75">
      <c r="B644" s="65"/>
      <c r="X644" s="326"/>
    </row>
    <row r="645" spans="2:24" ht="18.75" hidden="1">
      <c r="B645" s="117" t="s">
        <v>569</v>
      </c>
      <c r="C645" s="139"/>
      <c r="D645" s="139"/>
      <c r="E645" s="139"/>
      <c r="F645" s="13"/>
      <c r="G645" s="13"/>
      <c r="H645" s="13"/>
      <c r="I645" s="13"/>
      <c r="J645" s="13"/>
      <c r="X645" s="326"/>
    </row>
    <row r="646" spans="2:24" ht="18.75" hidden="1">
      <c r="B646" s="117" t="s">
        <v>166</v>
      </c>
      <c r="C646" s="139"/>
      <c r="D646" s="139"/>
      <c r="E646" s="139"/>
      <c r="F646" s="13"/>
      <c r="G646" s="13"/>
      <c r="H646" s="13"/>
      <c r="I646" s="13"/>
      <c r="J646" s="13"/>
      <c r="X646" s="326"/>
    </row>
    <row r="647" spans="2:24" ht="15" hidden="1">
      <c r="B647" s="13" t="s">
        <v>167</v>
      </c>
      <c r="C647" s="13"/>
      <c r="D647" s="13"/>
      <c r="E647" s="13"/>
      <c r="F647" s="13"/>
      <c r="G647" s="13"/>
      <c r="H647" s="13"/>
      <c r="I647" s="13"/>
      <c r="J647" s="13"/>
      <c r="X647" s="326"/>
    </row>
    <row r="648" spans="2:24" ht="15" hidden="1">
      <c r="B648" s="13" t="s">
        <v>563</v>
      </c>
      <c r="C648" s="13"/>
      <c r="D648" s="13"/>
      <c r="E648" s="13"/>
      <c r="F648" s="13"/>
      <c r="G648" s="13"/>
      <c r="H648" s="13"/>
      <c r="I648" s="13"/>
      <c r="J648" s="13"/>
      <c r="X648" s="326"/>
    </row>
    <row r="649" spans="2:24" ht="15" hidden="1">
      <c r="B649" s="13" t="s">
        <v>168</v>
      </c>
      <c r="C649" s="13"/>
      <c r="D649" s="13"/>
      <c r="E649" s="13"/>
      <c r="F649" s="13"/>
      <c r="G649" s="13"/>
      <c r="H649" s="13"/>
      <c r="I649" s="13"/>
      <c r="J649" s="13"/>
      <c r="X649" s="326"/>
    </row>
    <row r="650" spans="2:24" ht="15" hidden="1">
      <c r="B650" s="13" t="s">
        <v>503</v>
      </c>
      <c r="C650" s="13"/>
      <c r="D650" s="13"/>
      <c r="E650" s="13"/>
      <c r="F650" s="13"/>
      <c r="G650" s="13"/>
      <c r="H650" s="13"/>
      <c r="I650" s="13"/>
      <c r="J650" s="13"/>
      <c r="X650" s="326"/>
    </row>
    <row r="651" spans="2:24" ht="15" hidden="1">
      <c r="B651" s="13" t="s">
        <v>564</v>
      </c>
      <c r="C651" s="13"/>
      <c r="D651" s="13"/>
      <c r="E651" s="13"/>
      <c r="F651" s="13"/>
      <c r="G651" s="13"/>
      <c r="H651" s="13"/>
      <c r="I651" s="13"/>
      <c r="J651" s="13"/>
      <c r="X651" s="326"/>
    </row>
    <row r="652" spans="2:24" ht="15" hidden="1">
      <c r="B652" s="13" t="s">
        <v>565</v>
      </c>
      <c r="X652" s="326"/>
    </row>
    <row r="653" spans="2:24" ht="15" hidden="1">
      <c r="B653" s="13" t="s">
        <v>566</v>
      </c>
      <c r="X653" s="326"/>
    </row>
    <row r="654" spans="2:24" ht="16.5">
      <c r="B654" s="77" t="s">
        <v>731</v>
      </c>
      <c r="X654" s="326"/>
    </row>
    <row r="655" ht="15">
      <c r="X655" s="326"/>
    </row>
    <row r="656" ht="15">
      <c r="X656" s="326"/>
    </row>
    <row r="657" spans="2:31" s="176" customFormat="1" ht="16.5">
      <c r="B657" s="77"/>
      <c r="C657" s="13"/>
      <c r="D657" s="13"/>
      <c r="E657" s="13"/>
      <c r="F657" s="26"/>
      <c r="G657" s="13"/>
      <c r="H657" s="7"/>
      <c r="I657" s="7"/>
      <c r="J657" s="7"/>
      <c r="O657" s="494" t="s">
        <v>665</v>
      </c>
      <c r="P657" s="494"/>
      <c r="Q657" s="249"/>
      <c r="R657" s="133"/>
      <c r="S657" s="133"/>
      <c r="T657" s="133"/>
      <c r="U657" s="133"/>
      <c r="V657" s="133"/>
      <c r="W657" s="133"/>
      <c r="X657" s="326"/>
      <c r="Y657" s="133"/>
      <c r="Z657" s="133"/>
      <c r="AA657" s="133"/>
      <c r="AB657" s="133"/>
      <c r="AC657" s="133"/>
      <c r="AD657" s="133"/>
      <c r="AE657" s="133"/>
    </row>
    <row r="658" spans="2:31" s="176" customFormat="1" ht="18.75">
      <c r="B658" s="117" t="s">
        <v>649</v>
      </c>
      <c r="C658" s="139"/>
      <c r="D658" s="139"/>
      <c r="E658" s="139"/>
      <c r="F658" s="26"/>
      <c r="G658" s="13"/>
      <c r="H658" s="7"/>
      <c r="I658" s="7"/>
      <c r="J658" s="7"/>
      <c r="O658" s="118">
        <v>2021</v>
      </c>
      <c r="P658" s="118">
        <v>2020</v>
      </c>
      <c r="Q658" s="118">
        <v>2019</v>
      </c>
      <c r="R658" s="133"/>
      <c r="S658" s="133"/>
      <c r="T658" s="335">
        <v>2018</v>
      </c>
      <c r="U658" s="335">
        <v>2017</v>
      </c>
      <c r="V658" s="340"/>
      <c r="W658" s="340"/>
      <c r="X658" s="335">
        <v>2016</v>
      </c>
      <c r="Y658" s="133"/>
      <c r="Z658" s="133"/>
      <c r="AA658" s="133"/>
      <c r="AB658" s="133"/>
      <c r="AC658" s="133"/>
      <c r="AD658" s="133"/>
      <c r="AE658" s="133"/>
    </row>
    <row r="659" spans="2:31" s="176" customFormat="1" ht="20.25">
      <c r="B659" s="208" t="s">
        <v>267</v>
      </c>
      <c r="C659" s="139"/>
      <c r="D659" s="139"/>
      <c r="E659" s="139"/>
      <c r="F659" s="26"/>
      <c r="G659" s="13"/>
      <c r="H659" s="7"/>
      <c r="I659" s="7"/>
      <c r="J659" s="7"/>
      <c r="R659" s="133"/>
      <c r="S659" s="133"/>
      <c r="T659" s="133"/>
      <c r="U659" s="133"/>
      <c r="V659" s="133"/>
      <c r="W659" s="133"/>
      <c r="X659" s="326"/>
      <c r="Y659" s="133"/>
      <c r="Z659" s="133"/>
      <c r="AA659" s="133"/>
      <c r="AB659" s="133"/>
      <c r="AC659" s="133"/>
      <c r="AD659" s="133"/>
      <c r="AE659" s="133"/>
    </row>
    <row r="660" spans="2:31" s="176" customFormat="1" ht="15.75">
      <c r="B660" s="13" t="s">
        <v>169</v>
      </c>
      <c r="C660" s="13"/>
      <c r="D660" s="13"/>
      <c r="E660" s="13"/>
      <c r="F660" s="26"/>
      <c r="G660" s="13"/>
      <c r="H660" s="7"/>
      <c r="I660" s="7"/>
      <c r="J660" s="7"/>
      <c r="P660" s="495"/>
      <c r="Q660" s="495"/>
      <c r="R660" s="133"/>
      <c r="S660" s="133"/>
      <c r="T660" s="133"/>
      <c r="U660" s="133"/>
      <c r="V660" s="133"/>
      <c r="W660" s="133"/>
      <c r="X660" s="326"/>
      <c r="Y660" s="133"/>
      <c r="Z660" s="133"/>
      <c r="AA660" s="133"/>
      <c r="AB660" s="133"/>
      <c r="AC660" s="133"/>
      <c r="AD660" s="133"/>
      <c r="AE660" s="133"/>
    </row>
    <row r="661" spans="2:31" s="176" customFormat="1" ht="15.75">
      <c r="B661" s="13"/>
      <c r="C661" s="13"/>
      <c r="D661" s="13"/>
      <c r="E661" s="13"/>
      <c r="F661" s="26"/>
      <c r="G661" s="13"/>
      <c r="H661" s="7"/>
      <c r="I661" s="7"/>
      <c r="J661" s="7"/>
      <c r="P661" s="495"/>
      <c r="Q661" s="495"/>
      <c r="R661" s="133"/>
      <c r="S661" s="133"/>
      <c r="T661" s="133"/>
      <c r="U661" s="133"/>
      <c r="V661" s="133"/>
      <c r="W661" s="133"/>
      <c r="X661" s="326"/>
      <c r="Y661" s="133"/>
      <c r="Z661" s="133"/>
      <c r="AA661" s="133"/>
      <c r="AB661" s="133"/>
      <c r="AC661" s="133"/>
      <c r="AD661" s="133"/>
      <c r="AE661" s="133"/>
    </row>
    <row r="662" spans="2:31" s="176" customFormat="1" ht="15.75" hidden="1">
      <c r="B662" s="13" t="s">
        <v>504</v>
      </c>
      <c r="C662" s="13"/>
      <c r="D662" s="13"/>
      <c r="E662" s="13"/>
      <c r="F662" s="26"/>
      <c r="G662" s="13"/>
      <c r="H662" s="7"/>
      <c r="I662" s="7"/>
      <c r="J662" s="7"/>
      <c r="R662" s="133"/>
      <c r="S662" s="133"/>
      <c r="T662" s="133"/>
      <c r="U662" s="133"/>
      <c r="V662" s="133"/>
      <c r="W662" s="133"/>
      <c r="X662" s="133"/>
      <c r="Y662" s="133"/>
      <c r="Z662" s="133"/>
      <c r="AA662" s="133"/>
      <c r="AB662" s="133"/>
      <c r="AC662" s="133"/>
      <c r="AD662" s="133"/>
      <c r="AE662" s="133"/>
    </row>
    <row r="663" spans="2:31" s="176" customFormat="1" ht="15" hidden="1">
      <c r="B663" s="13" t="s">
        <v>173</v>
      </c>
      <c r="C663" s="13"/>
      <c r="D663" s="13"/>
      <c r="E663" s="13"/>
      <c r="F663" s="13"/>
      <c r="G663" s="13"/>
      <c r="H663" s="7">
        <v>589648.9</v>
      </c>
      <c r="I663" s="7"/>
      <c r="J663" s="7"/>
      <c r="R663" s="133"/>
      <c r="S663" s="133"/>
      <c r="T663" s="133"/>
      <c r="U663" s="326"/>
      <c r="V663" s="133"/>
      <c r="W663" s="133"/>
      <c r="X663" s="326"/>
      <c r="Y663" s="133"/>
      <c r="Z663" s="133"/>
      <c r="AA663" s="133"/>
      <c r="AB663" s="133"/>
      <c r="AC663" s="133"/>
      <c r="AD663" s="133"/>
      <c r="AE663" s="133"/>
    </row>
    <row r="664" spans="2:31" s="176" customFormat="1" ht="15" hidden="1">
      <c r="B664" s="13" t="s">
        <v>264</v>
      </c>
      <c r="C664" s="13"/>
      <c r="D664" s="13"/>
      <c r="E664" s="13"/>
      <c r="F664" s="13"/>
      <c r="G664" s="13"/>
      <c r="H664" s="7"/>
      <c r="I664" s="7"/>
      <c r="J664" s="7"/>
      <c r="R664" s="133"/>
      <c r="S664" s="133"/>
      <c r="T664" s="133"/>
      <c r="U664" s="326"/>
      <c r="V664" s="133"/>
      <c r="W664" s="133"/>
      <c r="X664" s="326"/>
      <c r="Y664" s="133"/>
      <c r="Z664" s="133"/>
      <c r="AA664" s="133"/>
      <c r="AB664" s="133"/>
      <c r="AC664" s="133"/>
      <c r="AD664" s="133"/>
      <c r="AE664" s="133"/>
    </row>
    <row r="665" spans="2:31" s="176" customFormat="1" ht="15" hidden="1">
      <c r="B665" s="13" t="s">
        <v>265</v>
      </c>
      <c r="C665" s="13"/>
      <c r="D665" s="13"/>
      <c r="E665" s="13"/>
      <c r="F665" s="13"/>
      <c r="G665" s="13"/>
      <c r="H665" s="7">
        <v>0</v>
      </c>
      <c r="I665" s="7"/>
      <c r="J665" s="7"/>
      <c r="R665" s="133"/>
      <c r="S665" s="133"/>
      <c r="T665" s="133"/>
      <c r="U665" s="326"/>
      <c r="V665" s="133"/>
      <c r="W665" s="133"/>
      <c r="X665" s="326"/>
      <c r="Y665" s="133"/>
      <c r="Z665" s="133"/>
      <c r="AA665" s="133"/>
      <c r="AB665" s="133"/>
      <c r="AC665" s="133"/>
      <c r="AD665" s="133"/>
      <c r="AE665" s="133"/>
    </row>
    <row r="666" spans="2:31" s="176" customFormat="1" ht="15.75">
      <c r="B666" s="65" t="s">
        <v>174</v>
      </c>
      <c r="C666" s="65"/>
      <c r="D666" s="65"/>
      <c r="E666" s="65"/>
      <c r="F666" s="65"/>
      <c r="G666" s="65"/>
      <c r="H666" s="66">
        <f>567161.8-521856</f>
        <v>45305.80000000005</v>
      </c>
      <c r="I666" s="66"/>
      <c r="J666" s="66"/>
      <c r="K666" s="136"/>
      <c r="L666" s="136"/>
      <c r="M666" s="136"/>
      <c r="N666" s="136"/>
      <c r="O666" s="254">
        <v>0</v>
      </c>
      <c r="P666" s="254">
        <v>28505</v>
      </c>
      <c r="Q666" s="254">
        <v>124995.43</v>
      </c>
      <c r="R666" s="123"/>
      <c r="S666" s="123"/>
      <c r="T666" s="122">
        <v>577192.11</v>
      </c>
      <c r="U666" s="122">
        <v>320891.51</v>
      </c>
      <c r="V666" s="123"/>
      <c r="W666" s="123"/>
      <c r="X666" s="122">
        <v>93068.66</v>
      </c>
      <c r="Y666" s="133"/>
      <c r="Z666" s="133"/>
      <c r="AA666" s="133"/>
      <c r="AB666" s="133"/>
      <c r="AC666" s="133"/>
      <c r="AD666" s="133"/>
      <c r="AE666" s="133"/>
    </row>
    <row r="667" spans="2:31" s="176" customFormat="1" ht="15.75">
      <c r="B667" s="65" t="s">
        <v>551</v>
      </c>
      <c r="C667" s="65"/>
      <c r="D667" s="65"/>
      <c r="E667" s="65"/>
      <c r="F667" s="65"/>
      <c r="G667" s="65"/>
      <c r="H667" s="66"/>
      <c r="I667" s="66"/>
      <c r="J667" s="66"/>
      <c r="K667" s="136"/>
      <c r="L667" s="136"/>
      <c r="M667" s="136"/>
      <c r="N667" s="136"/>
      <c r="O667" s="254">
        <v>982466.31</v>
      </c>
      <c r="P667" s="254">
        <v>10991.7</v>
      </c>
      <c r="Q667" s="254">
        <v>690685.7</v>
      </c>
      <c r="R667" s="123"/>
      <c r="S667" s="123"/>
      <c r="T667" s="122">
        <v>0</v>
      </c>
      <c r="U667" s="122">
        <f>371350.91+422145</f>
        <v>793495.9099999999</v>
      </c>
      <c r="V667" s="123"/>
      <c r="W667" s="123"/>
      <c r="X667" s="122"/>
      <c r="Y667" s="133"/>
      <c r="Z667" s="133"/>
      <c r="AA667" s="133"/>
      <c r="AB667" s="133"/>
      <c r="AC667" s="133"/>
      <c r="AD667" s="133"/>
      <c r="AE667" s="133"/>
    </row>
    <row r="668" spans="2:31" s="176" customFormat="1" ht="15.75" hidden="1">
      <c r="B668" s="65" t="s">
        <v>268</v>
      </c>
      <c r="C668" s="65"/>
      <c r="D668" s="65"/>
      <c r="E668" s="65"/>
      <c r="F668" s="65"/>
      <c r="G668" s="65"/>
      <c r="H668" s="66"/>
      <c r="I668" s="66"/>
      <c r="J668" s="66"/>
      <c r="K668" s="136"/>
      <c r="L668" s="136"/>
      <c r="M668" s="136"/>
      <c r="N668" s="136"/>
      <c r="O668" s="136"/>
      <c r="P668" s="136"/>
      <c r="Q668" s="254"/>
      <c r="R668" s="123"/>
      <c r="S668" s="123"/>
      <c r="T668" s="122"/>
      <c r="U668" s="122"/>
      <c r="V668" s="123"/>
      <c r="W668" s="123"/>
      <c r="X668" s="122"/>
      <c r="Y668" s="133"/>
      <c r="Z668" s="133"/>
      <c r="AA668" s="133"/>
      <c r="AB668" s="133"/>
      <c r="AC668" s="133"/>
      <c r="AD668" s="133"/>
      <c r="AE668" s="133"/>
    </row>
    <row r="669" spans="2:31" s="176" customFormat="1" ht="15.75">
      <c r="B669" s="65" t="s">
        <v>267</v>
      </c>
      <c r="C669" s="65"/>
      <c r="D669" s="65"/>
      <c r="E669" s="65"/>
      <c r="F669" s="65"/>
      <c r="G669" s="65"/>
      <c r="H669" s="66">
        <v>490.6</v>
      </c>
      <c r="I669" s="66"/>
      <c r="J669" s="66"/>
      <c r="K669" s="136"/>
      <c r="L669" s="136"/>
      <c r="M669" s="136"/>
      <c r="N669" s="136"/>
      <c r="O669" s="254">
        <f>18675+34566.67</f>
        <v>53241.67</v>
      </c>
      <c r="P669" s="254">
        <f>18675+400</f>
        <v>19075</v>
      </c>
      <c r="Q669" s="254">
        <v>18675</v>
      </c>
      <c r="R669" s="123"/>
      <c r="S669" s="123"/>
      <c r="T669" s="122">
        <v>18675</v>
      </c>
      <c r="U669" s="122">
        <v>11025</v>
      </c>
      <c r="V669" s="123"/>
      <c r="W669" s="123"/>
      <c r="X669" s="122">
        <v>5775</v>
      </c>
      <c r="Y669" s="133"/>
      <c r="Z669" s="133"/>
      <c r="AA669" s="133"/>
      <c r="AB669" s="133"/>
      <c r="AC669" s="133"/>
      <c r="AD669" s="133"/>
      <c r="AE669" s="133"/>
    </row>
    <row r="670" spans="2:31" s="176" customFormat="1" ht="15" hidden="1">
      <c r="B670" s="13" t="s">
        <v>500</v>
      </c>
      <c r="C670" s="13"/>
      <c r="D670" s="13"/>
      <c r="E670" s="13"/>
      <c r="F670" s="13"/>
      <c r="G670" s="13"/>
      <c r="H670" s="7">
        <v>24056.91</v>
      </c>
      <c r="I670" s="7"/>
      <c r="J670" s="7"/>
      <c r="P670" s="51"/>
      <c r="Q670" s="51"/>
      <c r="R670" s="133"/>
      <c r="S670" s="133"/>
      <c r="T670" s="326"/>
      <c r="U670" s="326"/>
      <c r="V670" s="133"/>
      <c r="W670" s="133"/>
      <c r="X670" s="326"/>
      <c r="Y670" s="133"/>
      <c r="Z670" s="133"/>
      <c r="AA670" s="133"/>
      <c r="AB670" s="133"/>
      <c r="AC670" s="133"/>
      <c r="AD670" s="133"/>
      <c r="AE670" s="133"/>
    </row>
    <row r="671" spans="2:31" s="176" customFormat="1" ht="15" hidden="1">
      <c r="B671" s="13" t="s">
        <v>501</v>
      </c>
      <c r="C671" s="13"/>
      <c r="D671" s="13"/>
      <c r="E671" s="13"/>
      <c r="F671" s="13"/>
      <c r="G671" s="13"/>
      <c r="H671" s="7">
        <v>6938259.74</v>
      </c>
      <c r="I671" s="7"/>
      <c r="J671" s="7"/>
      <c r="P671" s="51"/>
      <c r="Q671" s="51"/>
      <c r="R671" s="133"/>
      <c r="S671" s="133"/>
      <c r="T671" s="326"/>
      <c r="U671" s="326"/>
      <c r="V671" s="133"/>
      <c r="W671" s="133"/>
      <c r="X671" s="326"/>
      <c r="Y671" s="133"/>
      <c r="Z671" s="133"/>
      <c r="AA671" s="133"/>
      <c r="AB671" s="133"/>
      <c r="AC671" s="133"/>
      <c r="AD671" s="133"/>
      <c r="AE671" s="133"/>
    </row>
    <row r="672" spans="2:31" s="176" customFormat="1" ht="15" hidden="1">
      <c r="B672" s="13" t="s">
        <v>502</v>
      </c>
      <c r="C672" s="13"/>
      <c r="D672" s="13"/>
      <c r="E672" s="13"/>
      <c r="F672" s="13"/>
      <c r="G672" s="13"/>
      <c r="H672" s="7">
        <v>5400</v>
      </c>
      <c r="I672" s="7"/>
      <c r="J672" s="7"/>
      <c r="P672" s="51"/>
      <c r="Q672" s="51"/>
      <c r="R672" s="133"/>
      <c r="S672" s="133"/>
      <c r="T672" s="326"/>
      <c r="U672" s="326"/>
      <c r="V672" s="133"/>
      <c r="W672" s="133"/>
      <c r="X672" s="326"/>
      <c r="Y672" s="133"/>
      <c r="Z672" s="133"/>
      <c r="AA672" s="133"/>
      <c r="AB672" s="133"/>
      <c r="AC672" s="133"/>
      <c r="AD672" s="133"/>
      <c r="AE672" s="133"/>
    </row>
    <row r="673" spans="2:31" s="176" customFormat="1" ht="15" hidden="1">
      <c r="B673" s="13" t="s">
        <v>266</v>
      </c>
      <c r="C673" s="13"/>
      <c r="D673" s="13"/>
      <c r="E673" s="13"/>
      <c r="F673" s="13"/>
      <c r="G673" s="13"/>
      <c r="H673" s="7">
        <f>689</f>
        <v>689</v>
      </c>
      <c r="I673" s="7"/>
      <c r="J673" s="7"/>
      <c r="P673" s="51"/>
      <c r="Q673" s="51"/>
      <c r="R673" s="133"/>
      <c r="S673" s="133"/>
      <c r="T673" s="326"/>
      <c r="U673" s="326"/>
      <c r="V673" s="133"/>
      <c r="W673" s="133"/>
      <c r="X673" s="326"/>
      <c r="Y673" s="133"/>
      <c r="Z673" s="133"/>
      <c r="AA673" s="133"/>
      <c r="AB673" s="133"/>
      <c r="AC673" s="133"/>
      <c r="AD673" s="133"/>
      <c r="AE673" s="133"/>
    </row>
    <row r="674" spans="2:31" s="176" customFormat="1" ht="15" hidden="1">
      <c r="B674" s="13" t="s">
        <v>175</v>
      </c>
      <c r="C674" s="13"/>
      <c r="D674" s="13"/>
      <c r="E674" s="13"/>
      <c r="F674" s="13"/>
      <c r="G674" s="13"/>
      <c r="H674" s="7"/>
      <c r="I674" s="7"/>
      <c r="J674" s="7"/>
      <c r="P674" s="51"/>
      <c r="Q674" s="51"/>
      <c r="R674" s="133"/>
      <c r="S674" s="133"/>
      <c r="T674" s="326"/>
      <c r="U674" s="326"/>
      <c r="V674" s="133"/>
      <c r="W674" s="133"/>
      <c r="X674" s="326"/>
      <c r="Y674" s="133"/>
      <c r="Z674" s="133"/>
      <c r="AA674" s="133"/>
      <c r="AB674" s="133"/>
      <c r="AC674" s="133"/>
      <c r="AD674" s="133"/>
      <c r="AE674" s="133"/>
    </row>
    <row r="675" spans="2:31" s="176" customFormat="1" ht="15" hidden="1">
      <c r="B675" s="13" t="s">
        <v>176</v>
      </c>
      <c r="C675" s="13"/>
      <c r="D675" s="13"/>
      <c r="E675" s="13"/>
      <c r="F675" s="13"/>
      <c r="G675" s="13"/>
      <c r="H675" s="7">
        <v>420261.37</v>
      </c>
      <c r="I675" s="7"/>
      <c r="J675" s="7"/>
      <c r="P675" s="51"/>
      <c r="Q675" s="51"/>
      <c r="R675" s="133"/>
      <c r="S675" s="133"/>
      <c r="T675" s="326"/>
      <c r="U675" s="326"/>
      <c r="V675" s="133"/>
      <c r="W675" s="133"/>
      <c r="X675" s="326"/>
      <c r="Y675" s="133"/>
      <c r="Z675" s="133"/>
      <c r="AA675" s="133"/>
      <c r="AB675" s="133"/>
      <c r="AC675" s="133"/>
      <c r="AD675" s="133"/>
      <c r="AE675" s="133"/>
    </row>
    <row r="676" spans="2:31" s="176" customFormat="1" ht="19.5" thickBot="1">
      <c r="B676" s="77" t="s">
        <v>650</v>
      </c>
      <c r="C676" s="13"/>
      <c r="D676" s="13"/>
      <c r="E676" s="13"/>
      <c r="F676" s="13"/>
      <c r="G676" s="13"/>
      <c r="H676" s="47">
        <f>SUM(H663:H675)</f>
        <v>8024112.32</v>
      </c>
      <c r="I676" s="144"/>
      <c r="J676" s="144"/>
      <c r="O676" s="234">
        <f>SUM(O666:O669)</f>
        <v>1035707.9800000001</v>
      </c>
      <c r="P676" s="234">
        <f>SUM(P666:P669)</f>
        <v>58571.7</v>
      </c>
      <c r="Q676" s="234">
        <f>SUM(Q666:Q669)</f>
        <v>834356.1299999999</v>
      </c>
      <c r="R676" s="133"/>
      <c r="S676" s="133"/>
      <c r="T676" s="361">
        <f>SUM(T666:T669)</f>
        <v>595867.11</v>
      </c>
      <c r="U676" s="361">
        <f>SUM(U663:U675)</f>
        <v>1125412.42</v>
      </c>
      <c r="V676" s="133"/>
      <c r="W676" s="133"/>
      <c r="X676" s="361">
        <f>SUM(X663:X675)</f>
        <v>98843.66</v>
      </c>
      <c r="Y676" s="133"/>
      <c r="Z676" s="133"/>
      <c r="AA676" s="133"/>
      <c r="AB676" s="133"/>
      <c r="AC676" s="133"/>
      <c r="AD676" s="133"/>
      <c r="AE676" s="133"/>
    </row>
    <row r="677" ht="15.75" thickTop="1">
      <c r="X677" s="326"/>
    </row>
    <row r="678" ht="15">
      <c r="X678" s="326"/>
    </row>
    <row r="679" ht="15">
      <c r="X679" s="326"/>
    </row>
    <row r="680" ht="15">
      <c r="X680" s="326"/>
    </row>
    <row r="681" ht="15">
      <c r="X681" s="326"/>
    </row>
    <row r="682" ht="15">
      <c r="X682" s="326"/>
    </row>
    <row r="683" ht="15">
      <c r="X683" s="326"/>
    </row>
    <row r="684" ht="15">
      <c r="X684" s="326"/>
    </row>
    <row r="685" ht="15">
      <c r="X685" s="326"/>
    </row>
    <row r="686" ht="15">
      <c r="X686" s="326"/>
    </row>
  </sheetData>
  <sheetProtection/>
  <mergeCells count="32">
    <mergeCell ref="O194:P194"/>
    <mergeCell ref="O210:P210"/>
    <mergeCell ref="O139:P139"/>
    <mergeCell ref="O159:P159"/>
    <mergeCell ref="O173:P173"/>
    <mergeCell ref="O365:P365"/>
    <mergeCell ref="O295:P295"/>
    <mergeCell ref="O307:P307"/>
    <mergeCell ref="O320:P320"/>
    <mergeCell ref="O332:P332"/>
    <mergeCell ref="A6:R6"/>
    <mergeCell ref="A7:R7"/>
    <mergeCell ref="O10:P10"/>
    <mergeCell ref="O41:P41"/>
    <mergeCell ref="O83:P83"/>
    <mergeCell ref="O124:P124"/>
    <mergeCell ref="O226:P226"/>
    <mergeCell ref="O245:P245"/>
    <mergeCell ref="O254:P254"/>
    <mergeCell ref="O281:P281"/>
    <mergeCell ref="O398:P398"/>
    <mergeCell ref="O440:P440"/>
    <mergeCell ref="O340:P340"/>
    <mergeCell ref="O353:P353"/>
    <mergeCell ref="O373:P373"/>
    <mergeCell ref="O385:P385"/>
    <mergeCell ref="O657:P657"/>
    <mergeCell ref="P660:Q660"/>
    <mergeCell ref="P661:Q661"/>
    <mergeCell ref="O454:P454"/>
    <mergeCell ref="O481:P481"/>
    <mergeCell ref="O610:P610"/>
  </mergeCells>
  <printOptions/>
  <pageMargins left="0.76" right="0.31" top="0.354330708661417" bottom="0.748031496062992" header="0.31496062992126" footer="0.31496062992126"/>
  <pageSetup horizontalDpi="600" verticalDpi="600" orientation="portrait" scale="49" r:id="rId2"/>
  <headerFooter>
    <oddFooter>&amp;C&amp;A&amp;RPágina &amp;P</oddFooter>
  </headerFooter>
  <rowBreaks count="6" manualBreakCount="6">
    <brk id="81" max="38" man="1"/>
    <brk id="157" max="38" man="1"/>
    <brk id="252" max="38" man="1"/>
    <brk id="330" max="38" man="1"/>
    <brk id="410" max="38" man="1"/>
    <brk id="476" max="38" man="1"/>
  </rowBreaks>
  <ignoredErrors>
    <ignoredError sqref="T221 P239:Q239 P288:Q288 T288 Q314 P165 P205 P302:Q302 P327:Q327" formulaRange="1"/>
  </ignoredErrors>
  <drawing r:id="rId1"/>
</worksheet>
</file>

<file path=xl/worksheets/sheet7.xml><?xml version="1.0" encoding="utf-8"?>
<worksheet xmlns="http://schemas.openxmlformats.org/spreadsheetml/2006/main" xmlns:r="http://schemas.openxmlformats.org/officeDocument/2006/relationships">
  <dimension ref="A1:P211"/>
  <sheetViews>
    <sheetView workbookViewId="0" topLeftCell="A1">
      <selection activeCell="C9" sqref="C9"/>
    </sheetView>
  </sheetViews>
  <sheetFormatPr defaultColWidth="11.421875" defaultRowHeight="15"/>
  <cols>
    <col min="1" max="1" width="5.57421875" style="4" customWidth="1"/>
    <col min="2" max="2" width="49.00390625" style="113" customWidth="1"/>
    <col min="3" max="3" width="1.7109375" style="113" customWidth="1"/>
    <col min="4" max="4" width="18.7109375" style="107" hidden="1" customWidth="1"/>
    <col min="5" max="6" width="18.7109375" style="107" customWidth="1"/>
    <col min="7" max="9" width="18.7109375" style="107" hidden="1" customWidth="1"/>
    <col min="10" max="10" width="19.00390625" style="113" hidden="1" customWidth="1"/>
    <col min="11" max="12" width="0" style="113" hidden="1" customWidth="1"/>
    <col min="13" max="13" width="12.421875" style="113" hidden="1" customWidth="1"/>
    <col min="14" max="14" width="13.140625" style="113" bestFit="1" customWidth="1"/>
    <col min="15" max="15" width="12.421875" style="4" bestFit="1" customWidth="1"/>
    <col min="16" max="16" width="13.140625" style="4" bestFit="1" customWidth="1"/>
    <col min="17" max="16384" width="11.421875" style="4" customWidth="1"/>
  </cols>
  <sheetData>
    <row r="1" spans="2:11" ht="15">
      <c r="B1" s="497" t="s">
        <v>1</v>
      </c>
      <c r="C1" s="497"/>
      <c r="D1" s="497"/>
      <c r="E1" s="497"/>
      <c r="F1" s="497"/>
      <c r="G1" s="497"/>
      <c r="H1" s="497"/>
      <c r="I1" s="497"/>
      <c r="J1" s="497"/>
      <c r="K1" s="497"/>
    </row>
    <row r="2" spans="2:11" ht="15">
      <c r="B2" s="497" t="s">
        <v>27</v>
      </c>
      <c r="C2" s="497"/>
      <c r="D2" s="497"/>
      <c r="E2" s="497"/>
      <c r="F2" s="497"/>
      <c r="G2" s="497"/>
      <c r="H2" s="497"/>
      <c r="I2" s="497"/>
      <c r="J2" s="497"/>
      <c r="K2" s="497"/>
    </row>
    <row r="3" spans="2:11" ht="15">
      <c r="B3" s="497" t="s">
        <v>918</v>
      </c>
      <c r="C3" s="497"/>
      <c r="D3" s="497"/>
      <c r="E3" s="497"/>
      <c r="F3" s="497"/>
      <c r="G3" s="497"/>
      <c r="H3" s="497"/>
      <c r="I3" s="497"/>
      <c r="J3" s="497"/>
      <c r="K3" s="497"/>
    </row>
    <row r="6" ht="15">
      <c r="B6" s="104" t="s">
        <v>28</v>
      </c>
    </row>
    <row r="7" ht="15">
      <c r="B7" s="104"/>
    </row>
    <row r="8" spans="2:10" ht="15">
      <c r="B8" s="218" t="s">
        <v>258</v>
      </c>
      <c r="E8" s="211">
        <v>2021</v>
      </c>
      <c r="F8" s="211">
        <v>2020</v>
      </c>
      <c r="G8" s="211">
        <v>2019</v>
      </c>
      <c r="H8" s="211">
        <v>2018</v>
      </c>
      <c r="I8" s="211">
        <v>2017</v>
      </c>
      <c r="J8" s="211">
        <v>2016</v>
      </c>
    </row>
    <row r="9" spans="2:10" ht="15">
      <c r="B9" s="113" t="s">
        <v>29</v>
      </c>
      <c r="D9" s="212">
        <v>19139998.12</v>
      </c>
      <c r="E9" s="212">
        <v>11560900.38</v>
      </c>
      <c r="F9" s="212">
        <v>9817125.56</v>
      </c>
      <c r="G9" s="94">
        <v>21177805.77</v>
      </c>
      <c r="H9" s="94">
        <v>20833208.92</v>
      </c>
      <c r="I9" s="94">
        <v>20520781.23</v>
      </c>
      <c r="J9" s="94">
        <v>19916382.15</v>
      </c>
    </row>
    <row r="10" spans="2:10" ht="15" hidden="1">
      <c r="B10" s="113" t="s">
        <v>511</v>
      </c>
      <c r="D10" s="212">
        <v>35130</v>
      </c>
      <c r="E10" s="212"/>
      <c r="F10" s="212">
        <v>0</v>
      </c>
      <c r="G10" s="94">
        <v>35130</v>
      </c>
      <c r="H10" s="94">
        <v>35130</v>
      </c>
      <c r="I10" s="94">
        <v>35130</v>
      </c>
      <c r="J10" s="94">
        <v>35130</v>
      </c>
    </row>
    <row r="11" spans="2:10" ht="15">
      <c r="B11" s="113" t="s">
        <v>31</v>
      </c>
      <c r="D11" s="212">
        <v>738127.23</v>
      </c>
      <c r="E11" s="212">
        <v>917910.78</v>
      </c>
      <c r="F11" s="212">
        <v>917910.78</v>
      </c>
      <c r="G11" s="94">
        <v>876610.74</v>
      </c>
      <c r="H11" s="94">
        <v>835310.74</v>
      </c>
      <c r="I11" s="94">
        <v>794010.74</v>
      </c>
      <c r="J11" s="94">
        <v>752710.74</v>
      </c>
    </row>
    <row r="12" spans="2:10" ht="15">
      <c r="B12" s="113" t="s">
        <v>32</v>
      </c>
      <c r="D12" s="212">
        <v>1757269.34</v>
      </c>
      <c r="E12" s="212">
        <v>2376045.33</v>
      </c>
      <c r="F12" s="212">
        <v>1990237.54</v>
      </c>
      <c r="G12" s="94">
        <v>2946548.26</v>
      </c>
      <c r="H12" s="94">
        <v>2669444.12</v>
      </c>
      <c r="I12" s="94">
        <v>2392339.98</v>
      </c>
      <c r="J12" s="94">
        <v>2092829.87</v>
      </c>
    </row>
    <row r="13" spans="2:10" ht="15">
      <c r="B13" s="113" t="s">
        <v>4</v>
      </c>
      <c r="D13" s="212">
        <v>72347.35</v>
      </c>
      <c r="E13" s="212">
        <v>9740.15</v>
      </c>
      <c r="F13" s="212">
        <v>9256.43</v>
      </c>
      <c r="G13" s="94">
        <v>115757.08</v>
      </c>
      <c r="H13" s="94">
        <v>104016.08</v>
      </c>
      <c r="I13" s="94">
        <v>92275.08</v>
      </c>
      <c r="J13" s="94">
        <v>80534.08</v>
      </c>
    </row>
    <row r="14" spans="2:10" ht="15">
      <c r="B14" s="113" t="s">
        <v>33</v>
      </c>
      <c r="D14" s="212">
        <v>121233.3</v>
      </c>
      <c r="E14" s="212">
        <v>23064.04</v>
      </c>
      <c r="F14" s="212">
        <v>16356.84</v>
      </c>
      <c r="G14" s="94">
        <v>141760.67</v>
      </c>
      <c r="H14" s="94">
        <v>136020.92</v>
      </c>
      <c r="I14" s="94">
        <v>130281.17</v>
      </c>
      <c r="J14" s="94">
        <v>125942.99</v>
      </c>
    </row>
    <row r="15" spans="2:10" ht="15">
      <c r="B15" s="107" t="s">
        <v>34</v>
      </c>
      <c r="D15" s="212">
        <v>225688.47</v>
      </c>
      <c r="E15" s="212">
        <v>265332.19</v>
      </c>
      <c r="F15" s="212">
        <v>152346.68</v>
      </c>
      <c r="G15" s="94">
        <v>1013457.11</v>
      </c>
      <c r="H15" s="94">
        <v>822616.06</v>
      </c>
      <c r="I15" s="94">
        <v>631775.01</v>
      </c>
      <c r="J15" s="94">
        <v>445089.51</v>
      </c>
    </row>
    <row r="16" spans="2:10" ht="15">
      <c r="B16" s="107" t="s">
        <v>64</v>
      </c>
      <c r="D16" s="212">
        <v>156641.78</v>
      </c>
      <c r="E16" s="212">
        <v>46548.85</v>
      </c>
      <c r="F16" s="212">
        <v>33433.56</v>
      </c>
      <c r="G16" s="94">
        <v>206488.54</v>
      </c>
      <c r="H16" s="94">
        <v>194341.12</v>
      </c>
      <c r="I16" s="94">
        <v>182193.7</v>
      </c>
      <c r="J16" s="94">
        <v>169072.32</v>
      </c>
    </row>
    <row r="17" spans="2:10" ht="15">
      <c r="B17" s="107" t="s">
        <v>494</v>
      </c>
      <c r="D17" s="212">
        <v>49225.13</v>
      </c>
      <c r="E17" s="212">
        <v>107311.96</v>
      </c>
      <c r="F17" s="212">
        <v>107311.96</v>
      </c>
      <c r="G17" s="94">
        <v>109816.52</v>
      </c>
      <c r="H17" s="94">
        <v>94282.34</v>
      </c>
      <c r="I17" s="94">
        <v>78748.16</v>
      </c>
      <c r="J17" s="94">
        <v>64360.87</v>
      </c>
    </row>
    <row r="18" spans="2:10" ht="15">
      <c r="B18" s="113" t="s">
        <v>35</v>
      </c>
      <c r="D18" s="212">
        <v>13748744.65</v>
      </c>
      <c r="E18" s="212">
        <v>1300116.72</v>
      </c>
      <c r="F18" s="212">
        <v>495756.16</v>
      </c>
      <c r="G18" s="94">
        <v>14169249.35</v>
      </c>
      <c r="H18" s="94">
        <v>14036796.53</v>
      </c>
      <c r="I18" s="94">
        <v>13904343.71</v>
      </c>
      <c r="J18" s="94">
        <v>13822859.24</v>
      </c>
    </row>
    <row r="19" spans="2:10" ht="15">
      <c r="B19" s="107" t="s">
        <v>495</v>
      </c>
      <c r="D19" s="212">
        <f>5815.41+7245.41+9574.95</f>
        <v>22635.77</v>
      </c>
      <c r="E19" s="257">
        <f>92333.02+5894+8070.35</f>
        <v>106297.37000000001</v>
      </c>
      <c r="F19" s="257">
        <f>92134.3+5894+7520.39</f>
        <v>105548.69</v>
      </c>
      <c r="G19" s="94">
        <f>22961.63+5815.41+7245.41</f>
        <v>36022.45</v>
      </c>
      <c r="H19" s="94">
        <f>20130.01+5815.41+7245.41</f>
        <v>33190.83</v>
      </c>
      <c r="I19" s="94">
        <f>17298.39+5815.41+7245.41</f>
        <v>30359.21</v>
      </c>
      <c r="J19" s="94">
        <f>12562.14+5815.41+7245.41</f>
        <v>25622.96</v>
      </c>
    </row>
    <row r="20" spans="2:10" ht="15" hidden="1">
      <c r="B20" s="113" t="s">
        <v>36</v>
      </c>
      <c r="D20" s="108">
        <v>235430.74</v>
      </c>
      <c r="E20" s="108"/>
      <c r="F20" s="108"/>
      <c r="G20" s="108">
        <v>235430.74</v>
      </c>
      <c r="H20" s="108">
        <v>235430.74</v>
      </c>
      <c r="I20" s="108">
        <v>235430.74</v>
      </c>
      <c r="J20" s="108">
        <v>235430.74</v>
      </c>
    </row>
    <row r="21" spans="7:13" ht="15">
      <c r="G21" s="94"/>
      <c r="H21" s="94"/>
      <c r="I21" s="94"/>
      <c r="J21" s="94"/>
      <c r="M21" s="219">
        <f>+F17+F19+F16</f>
        <v>246294.21000000002</v>
      </c>
    </row>
    <row r="22" spans="2:13" ht="15.75" thickBot="1">
      <c r="B22" s="104" t="s">
        <v>37</v>
      </c>
      <c r="C22" s="104"/>
      <c r="D22" s="15">
        <f>SUM(D9:D21)</f>
        <v>36302471.88000001</v>
      </c>
      <c r="E22" s="15">
        <f>SUM(E9:E20)</f>
        <v>16713267.77</v>
      </c>
      <c r="F22" s="15">
        <f>SUM(F9:F20)</f>
        <v>13645284.2</v>
      </c>
      <c r="G22" s="15">
        <f>SUM(G9:G20)</f>
        <v>41064077.23</v>
      </c>
      <c r="H22" s="15">
        <f>SUM(H9:H20)</f>
        <v>40029788.4</v>
      </c>
      <c r="I22" s="15">
        <f>SUM(I9:I20)</f>
        <v>39027668.730000004</v>
      </c>
      <c r="J22" s="15">
        <f>SUM(J9:J21)</f>
        <v>37765965.47</v>
      </c>
      <c r="K22" s="220">
        <f>+F22+'[2]Balanza de Comprobación 2020'!$I$156</f>
        <v>0</v>
      </c>
      <c r="M22" s="220">
        <f>+M21+'[2]Balanza de Comprobación 2020'!$I$223</f>
        <v>0</v>
      </c>
    </row>
    <row r="23" spans="9:10" ht="15.75" thickTop="1">
      <c r="I23" s="94"/>
      <c r="J23" s="94"/>
    </row>
    <row r="24" spans="9:10" ht="15">
      <c r="I24" s="94"/>
      <c r="J24" s="94"/>
    </row>
    <row r="25" spans="2:10" ht="15">
      <c r="B25" s="218" t="s">
        <v>259</v>
      </c>
      <c r="I25" s="94"/>
      <c r="J25" s="94"/>
    </row>
    <row r="26" spans="2:10" ht="15">
      <c r="B26" s="113" t="s">
        <v>29</v>
      </c>
      <c r="D26" s="221">
        <v>1280734.25</v>
      </c>
      <c r="E26" s="94">
        <v>581087.65</v>
      </c>
      <c r="F26" s="94">
        <v>577285.97</v>
      </c>
      <c r="G26" s="94">
        <v>1330935.05</v>
      </c>
      <c r="H26" s="94">
        <v>1313075.01</v>
      </c>
      <c r="I26" s="94">
        <v>1295214.97</v>
      </c>
      <c r="J26" s="94">
        <v>1286682.5</v>
      </c>
    </row>
    <row r="27" spans="2:10" ht="15" hidden="1">
      <c r="B27" s="113" t="s">
        <v>30</v>
      </c>
      <c r="D27" s="221">
        <v>1217.82</v>
      </c>
      <c r="E27" s="221"/>
      <c r="F27" s="94"/>
      <c r="G27" s="94">
        <v>1217.82</v>
      </c>
      <c r="H27" s="94">
        <v>1217.82</v>
      </c>
      <c r="I27" s="94">
        <v>1217.82</v>
      </c>
      <c r="J27" s="94">
        <v>1217.82</v>
      </c>
    </row>
    <row r="28" spans="2:10" ht="15" hidden="1">
      <c r="B28" s="113" t="s">
        <v>31</v>
      </c>
      <c r="D28" s="221"/>
      <c r="E28" s="221"/>
      <c r="F28" s="94"/>
      <c r="G28" s="94"/>
      <c r="H28" s="94"/>
      <c r="I28" s="94"/>
      <c r="J28" s="94"/>
    </row>
    <row r="29" spans="2:10" ht="15">
      <c r="B29" s="113" t="s">
        <v>32</v>
      </c>
      <c r="D29" s="221">
        <v>261656.02</v>
      </c>
      <c r="E29" s="94">
        <v>209215</v>
      </c>
      <c r="F29" s="94">
        <v>206715.04</v>
      </c>
      <c r="G29" s="94">
        <v>564783.3</v>
      </c>
      <c r="H29" s="94">
        <v>480189.64</v>
      </c>
      <c r="I29" s="94">
        <v>395595.98</v>
      </c>
      <c r="J29" s="94">
        <v>311002.32</v>
      </c>
    </row>
    <row r="30" spans="2:10" ht="15" hidden="1">
      <c r="B30" s="113" t="s">
        <v>4</v>
      </c>
      <c r="D30" s="221">
        <v>46520.25</v>
      </c>
      <c r="E30" s="221"/>
      <c r="F30" s="94"/>
      <c r="G30" s="94">
        <v>46520.25</v>
      </c>
      <c r="H30" s="94">
        <v>46520.25</v>
      </c>
      <c r="I30" s="94">
        <v>46520.25</v>
      </c>
      <c r="J30" s="94">
        <v>46520.25</v>
      </c>
    </row>
    <row r="31" spans="2:10" ht="15">
      <c r="B31" s="113" t="s">
        <v>33</v>
      </c>
      <c r="D31" s="221">
        <v>11773.49</v>
      </c>
      <c r="E31" s="94">
        <v>2849</v>
      </c>
      <c r="F31" s="94">
        <v>2849</v>
      </c>
      <c r="G31" s="94">
        <v>11773.49</v>
      </c>
      <c r="H31" s="94">
        <v>11773.49</v>
      </c>
      <c r="I31" s="94">
        <v>11773.49</v>
      </c>
      <c r="J31" s="94">
        <v>11773.49</v>
      </c>
    </row>
    <row r="32" spans="2:10" ht="15" hidden="1">
      <c r="B32" s="107" t="s">
        <v>34</v>
      </c>
      <c r="D32" s="221">
        <v>5981.25</v>
      </c>
      <c r="E32" s="221"/>
      <c r="G32" s="94">
        <v>6389.06</v>
      </c>
      <c r="H32" s="94">
        <v>6389.06</v>
      </c>
      <c r="I32" s="94">
        <v>6389.06</v>
      </c>
      <c r="J32" s="94">
        <v>6389.06</v>
      </c>
    </row>
    <row r="33" spans="2:10" ht="15">
      <c r="B33" s="107" t="s">
        <v>65</v>
      </c>
      <c r="D33" s="221">
        <v>44640.98</v>
      </c>
      <c r="E33" s="94">
        <v>17250.39</v>
      </c>
      <c r="F33" s="94">
        <v>16551.03</v>
      </c>
      <c r="G33" s="94">
        <v>58479.96</v>
      </c>
      <c r="H33" s="94">
        <v>55481.06</v>
      </c>
      <c r="I33" s="94">
        <v>52482.16</v>
      </c>
      <c r="J33" s="94">
        <v>49483.26</v>
      </c>
    </row>
    <row r="34" spans="2:10" ht="15">
      <c r="B34" s="107" t="s">
        <v>496</v>
      </c>
      <c r="D34" s="221">
        <v>6295</v>
      </c>
      <c r="E34" s="94">
        <v>11769.65</v>
      </c>
      <c r="F34" s="94">
        <v>8914.09</v>
      </c>
      <c r="G34" s="94">
        <v>15203.06</v>
      </c>
      <c r="H34" s="94">
        <v>12773.59</v>
      </c>
      <c r="I34" s="94">
        <v>10344.12</v>
      </c>
      <c r="J34" s="94">
        <v>7914.65</v>
      </c>
    </row>
    <row r="35" spans="2:10" ht="15">
      <c r="B35" s="113" t="s">
        <v>512</v>
      </c>
      <c r="D35" s="221">
        <v>39146.23</v>
      </c>
      <c r="E35" s="94">
        <f>103812.48+164.04</f>
        <v>103976.51999999999</v>
      </c>
      <c r="F35" s="94">
        <v>103812.48</v>
      </c>
      <c r="G35" s="94">
        <v>55319.38</v>
      </c>
      <c r="H35" s="94">
        <v>51616.9</v>
      </c>
      <c r="I35" s="94">
        <v>47914.36</v>
      </c>
      <c r="J35" s="94">
        <v>43503.48</v>
      </c>
    </row>
    <row r="36" spans="4:10" ht="15">
      <c r="D36" s="222"/>
      <c r="E36" s="222"/>
      <c r="F36" s="108"/>
      <c r="G36" s="108"/>
      <c r="H36" s="108"/>
      <c r="I36" s="108"/>
      <c r="J36" s="108"/>
    </row>
    <row r="37" spans="2:10" ht="15.75" thickBot="1">
      <c r="B37" s="104" t="s">
        <v>277</v>
      </c>
      <c r="D37" s="16">
        <f aca="true" t="shared" si="0" ref="D37:J37">SUM(D26:D36)</f>
        <v>1697965.29</v>
      </c>
      <c r="E37" s="15">
        <f>SUM(E26:E36)</f>
        <v>926148.2100000001</v>
      </c>
      <c r="F37" s="15">
        <f t="shared" si="0"/>
        <v>916127.61</v>
      </c>
      <c r="G37" s="15">
        <f t="shared" si="0"/>
        <v>2090621.37</v>
      </c>
      <c r="H37" s="16">
        <f t="shared" si="0"/>
        <v>1979036.8200000003</v>
      </c>
      <c r="I37" s="16">
        <f t="shared" si="0"/>
        <v>1867452.2100000002</v>
      </c>
      <c r="J37" s="16">
        <f t="shared" si="0"/>
        <v>1764486.83</v>
      </c>
    </row>
    <row r="38" spans="9:10" ht="15.75" thickTop="1">
      <c r="I38" s="94"/>
      <c r="J38" s="94"/>
    </row>
    <row r="39" spans="9:10" ht="15">
      <c r="I39" s="94"/>
      <c r="J39" s="94"/>
    </row>
    <row r="40" spans="2:14" s="195" customFormat="1" ht="15">
      <c r="B40" s="218" t="s">
        <v>260</v>
      </c>
      <c r="C40" s="113"/>
      <c r="D40" s="107"/>
      <c r="E40" s="107"/>
      <c r="F40" s="107"/>
      <c r="G40" s="107"/>
      <c r="H40" s="107"/>
      <c r="I40" s="94"/>
      <c r="J40" s="94"/>
      <c r="K40" s="113"/>
      <c r="L40" s="113"/>
      <c r="M40" s="113"/>
      <c r="N40" s="113"/>
    </row>
    <row r="41" spans="2:14" s="195" customFormat="1" ht="15">
      <c r="B41" s="113" t="s">
        <v>29</v>
      </c>
      <c r="C41" s="113"/>
      <c r="D41" s="111">
        <v>606794.7</v>
      </c>
      <c r="E41" s="94">
        <v>980119.45</v>
      </c>
      <c r="F41" s="94">
        <v>976619.53</v>
      </c>
      <c r="G41" s="94">
        <v>767078.31</v>
      </c>
      <c r="H41" s="94">
        <v>709521.4</v>
      </c>
      <c r="I41" s="94">
        <v>651964.49</v>
      </c>
      <c r="J41" s="94">
        <v>621763.06</v>
      </c>
      <c r="K41" s="113"/>
      <c r="L41" s="113"/>
      <c r="M41" s="113"/>
      <c r="N41" s="113"/>
    </row>
    <row r="42" spans="2:14" s="195" customFormat="1" ht="15" hidden="1">
      <c r="B42" s="113" t="s">
        <v>511</v>
      </c>
      <c r="C42" s="113"/>
      <c r="D42" s="111">
        <v>19639.21</v>
      </c>
      <c r="E42" s="111"/>
      <c r="F42" s="111"/>
      <c r="G42" s="94">
        <v>19639.21</v>
      </c>
      <c r="H42" s="94">
        <v>19639.21</v>
      </c>
      <c r="I42" s="94">
        <v>19639.21</v>
      </c>
      <c r="J42" s="94">
        <v>19639.21</v>
      </c>
      <c r="K42" s="113"/>
      <c r="L42" s="113"/>
      <c r="M42" s="113"/>
      <c r="N42" s="113"/>
    </row>
    <row r="43" spans="2:14" s="195" customFormat="1" ht="15" hidden="1">
      <c r="B43" s="113" t="s">
        <v>31</v>
      </c>
      <c r="C43" s="113"/>
      <c r="D43" s="111">
        <v>382724.01</v>
      </c>
      <c r="E43" s="111"/>
      <c r="F43" s="111"/>
      <c r="G43" s="94">
        <v>382724.01</v>
      </c>
      <c r="H43" s="94">
        <v>382724.01</v>
      </c>
      <c r="I43" s="94">
        <v>382724.01</v>
      </c>
      <c r="J43" s="94">
        <v>382724.01</v>
      </c>
      <c r="K43" s="113"/>
      <c r="L43" s="113"/>
      <c r="M43" s="113"/>
      <c r="N43" s="113"/>
    </row>
    <row r="44" spans="2:14" s="195" customFormat="1" ht="15">
      <c r="B44" s="113" t="s">
        <v>32</v>
      </c>
      <c r="C44" s="113"/>
      <c r="D44" s="111">
        <v>72799</v>
      </c>
      <c r="E44" s="94">
        <v>35852.9</v>
      </c>
      <c r="F44" s="94">
        <v>35852.9</v>
      </c>
      <c r="G44" s="94">
        <v>109036.82</v>
      </c>
      <c r="H44" s="94">
        <v>92931.12</v>
      </c>
      <c r="I44" s="94">
        <v>76825.42</v>
      </c>
      <c r="J44" s="94">
        <v>72799</v>
      </c>
      <c r="K44" s="113"/>
      <c r="L44" s="113"/>
      <c r="M44" s="113"/>
      <c r="N44" s="113"/>
    </row>
    <row r="45" spans="2:14" s="195" customFormat="1" ht="15">
      <c r="B45" s="113" t="s">
        <v>33</v>
      </c>
      <c r="C45" s="113"/>
      <c r="D45" s="111">
        <v>6216.64</v>
      </c>
      <c r="E45" s="94">
        <v>6957.69</v>
      </c>
      <c r="F45" s="94">
        <v>6957.69</v>
      </c>
      <c r="G45" s="94">
        <v>13110.88</v>
      </c>
      <c r="H45" s="94">
        <v>10389.89</v>
      </c>
      <c r="I45" s="94">
        <v>7668.9</v>
      </c>
      <c r="J45" s="94">
        <v>6446.22</v>
      </c>
      <c r="K45" s="113"/>
      <c r="L45" s="113"/>
      <c r="M45" s="113"/>
      <c r="N45" s="113"/>
    </row>
    <row r="46" spans="2:14" s="195" customFormat="1" ht="15">
      <c r="B46" s="107" t="s">
        <v>34</v>
      </c>
      <c r="C46" s="113"/>
      <c r="D46" s="111">
        <v>12506.25</v>
      </c>
      <c r="E46" s="111">
        <v>0</v>
      </c>
      <c r="F46" s="94">
        <v>25978.68</v>
      </c>
      <c r="G46" s="94">
        <v>12914.06</v>
      </c>
      <c r="H46" s="94">
        <v>12914.06</v>
      </c>
      <c r="I46" s="94">
        <v>12914.06</v>
      </c>
      <c r="J46" s="94">
        <v>12914.06</v>
      </c>
      <c r="K46" s="113"/>
      <c r="L46" s="113"/>
      <c r="M46" s="113"/>
      <c r="N46" s="113"/>
    </row>
    <row r="47" spans="2:14" s="195" customFormat="1" ht="15" hidden="1">
      <c r="B47" s="107" t="s">
        <v>498</v>
      </c>
      <c r="C47" s="113"/>
      <c r="D47" s="111">
        <v>11280</v>
      </c>
      <c r="E47" s="111"/>
      <c r="F47" s="94"/>
      <c r="G47" s="94">
        <v>11280</v>
      </c>
      <c r="H47" s="94">
        <v>11280</v>
      </c>
      <c r="I47" s="94">
        <v>11280</v>
      </c>
      <c r="J47" s="94">
        <v>11280</v>
      </c>
      <c r="K47" s="113"/>
      <c r="L47" s="113"/>
      <c r="M47" s="113"/>
      <c r="N47" s="113"/>
    </row>
    <row r="48" spans="2:14" s="195" customFormat="1" ht="15">
      <c r="B48" s="107" t="s">
        <v>497</v>
      </c>
      <c r="C48" s="113"/>
      <c r="D48" s="111">
        <v>1473.39</v>
      </c>
      <c r="E48" s="94">
        <v>6586.96</v>
      </c>
      <c r="F48" s="94">
        <v>6586.96</v>
      </c>
      <c r="G48" s="94">
        <v>1473.39</v>
      </c>
      <c r="H48" s="94">
        <v>1473.39</v>
      </c>
      <c r="I48" s="94">
        <v>1473.39</v>
      </c>
      <c r="J48" s="94">
        <v>1473.39</v>
      </c>
      <c r="K48" s="113"/>
      <c r="L48" s="113"/>
      <c r="M48" s="113"/>
      <c r="N48" s="113"/>
    </row>
    <row r="49" spans="2:14" s="195" customFormat="1" ht="15">
      <c r="B49" s="113" t="s">
        <v>278</v>
      </c>
      <c r="C49" s="113"/>
      <c r="D49" s="111">
        <v>193530.41</v>
      </c>
      <c r="E49" s="94">
        <v>23420.16</v>
      </c>
      <c r="F49" s="94">
        <v>10780.92</v>
      </c>
      <c r="G49" s="94">
        <v>193530.41</v>
      </c>
      <c r="H49" s="94">
        <v>193530.41</v>
      </c>
      <c r="I49" s="94">
        <v>193530.41</v>
      </c>
      <c r="J49" s="94">
        <v>193530.41</v>
      </c>
      <c r="K49" s="113"/>
      <c r="L49" s="113"/>
      <c r="M49" s="113"/>
      <c r="N49" s="113"/>
    </row>
    <row r="50" spans="2:14" s="195" customFormat="1" ht="15">
      <c r="B50" s="113"/>
      <c r="C50" s="113"/>
      <c r="D50" s="222"/>
      <c r="E50" s="222"/>
      <c r="F50" s="108"/>
      <c r="G50" s="108"/>
      <c r="H50" s="94"/>
      <c r="I50" s="94"/>
      <c r="J50" s="94"/>
      <c r="K50" s="113"/>
      <c r="L50" s="113"/>
      <c r="M50" s="113"/>
      <c r="N50" s="113"/>
    </row>
    <row r="51" spans="2:14" s="195" customFormat="1" ht="15.75" thickBot="1">
      <c r="B51" s="104" t="s">
        <v>38</v>
      </c>
      <c r="C51" s="113"/>
      <c r="D51" s="16">
        <f aca="true" t="shared" si="1" ref="D51:J51">SUM(D41:D50)</f>
        <v>1306963.6099999996</v>
      </c>
      <c r="E51" s="112">
        <f>SUM(E41:E50)</f>
        <v>1052937.16</v>
      </c>
      <c r="F51" s="15">
        <f t="shared" si="1"/>
        <v>1062776.68</v>
      </c>
      <c r="G51" s="15">
        <f t="shared" si="1"/>
        <v>1510787.0899999999</v>
      </c>
      <c r="H51" s="16">
        <f t="shared" si="1"/>
        <v>1434403.49</v>
      </c>
      <c r="I51" s="16">
        <f t="shared" si="1"/>
        <v>1358019.8899999997</v>
      </c>
      <c r="J51" s="16">
        <f t="shared" si="1"/>
        <v>1322569.3599999999</v>
      </c>
      <c r="K51" s="113"/>
      <c r="L51" s="113"/>
      <c r="M51" s="113"/>
      <c r="N51" s="113"/>
    </row>
    <row r="52" spans="9:10" ht="15.75" thickTop="1">
      <c r="I52" s="94"/>
      <c r="J52" s="94"/>
    </row>
    <row r="53" spans="2:14" s="176" customFormat="1" ht="15">
      <c r="B53" s="113"/>
      <c r="C53" s="113"/>
      <c r="D53" s="107"/>
      <c r="E53" s="107"/>
      <c r="F53" s="107"/>
      <c r="G53" s="107"/>
      <c r="H53" s="107"/>
      <c r="I53" s="94"/>
      <c r="J53" s="94"/>
      <c r="K53" s="113"/>
      <c r="L53" s="113"/>
      <c r="M53" s="113"/>
      <c r="N53" s="113"/>
    </row>
    <row r="54" spans="2:14" s="176" customFormat="1" ht="15">
      <c r="B54" s="113"/>
      <c r="C54" s="113"/>
      <c r="D54" s="107"/>
      <c r="E54" s="107"/>
      <c r="F54" s="107"/>
      <c r="G54" s="107"/>
      <c r="H54" s="107"/>
      <c r="I54" s="94"/>
      <c r="J54" s="94"/>
      <c r="K54" s="113"/>
      <c r="L54" s="113"/>
      <c r="M54" s="113"/>
      <c r="N54" s="113"/>
    </row>
    <row r="55" spans="2:14" s="195" customFormat="1" ht="15">
      <c r="B55" s="218" t="s">
        <v>261</v>
      </c>
      <c r="C55" s="113"/>
      <c r="D55" s="107"/>
      <c r="E55" s="107"/>
      <c r="F55" s="107"/>
      <c r="G55" s="94"/>
      <c r="H55" s="94"/>
      <c r="I55" s="94"/>
      <c r="J55" s="94"/>
      <c r="K55" s="113"/>
      <c r="L55" s="113"/>
      <c r="M55" s="113"/>
      <c r="N55" s="113"/>
    </row>
    <row r="56" spans="2:14" s="195" customFormat="1" ht="18" customHeight="1">
      <c r="B56" s="113" t="s">
        <v>29</v>
      </c>
      <c r="C56" s="113"/>
      <c r="D56" s="111">
        <v>171612.95</v>
      </c>
      <c r="E56" s="111">
        <v>141036.68</v>
      </c>
      <c r="F56" s="94">
        <v>136955.5</v>
      </c>
      <c r="G56" s="94">
        <v>193258.8</v>
      </c>
      <c r="H56" s="94">
        <v>193258.8</v>
      </c>
      <c r="I56" s="94">
        <v>193258.8</v>
      </c>
      <c r="J56" s="94">
        <v>190884.05</v>
      </c>
      <c r="K56" s="113"/>
      <c r="L56" s="113"/>
      <c r="M56" s="113"/>
      <c r="N56" s="113"/>
    </row>
    <row r="57" spans="2:14" s="195" customFormat="1" ht="18" customHeight="1" hidden="1">
      <c r="B57" s="113" t="s">
        <v>30</v>
      </c>
      <c r="C57" s="113"/>
      <c r="D57" s="111"/>
      <c r="E57" s="111"/>
      <c r="F57" s="94"/>
      <c r="G57" s="94"/>
      <c r="H57" s="94"/>
      <c r="I57" s="94"/>
      <c r="J57" s="94"/>
      <c r="K57" s="113"/>
      <c r="L57" s="113"/>
      <c r="M57" s="113"/>
      <c r="N57" s="113"/>
    </row>
    <row r="58" spans="2:14" s="195" customFormat="1" ht="18" customHeight="1" hidden="1">
      <c r="B58" s="113" t="s">
        <v>31</v>
      </c>
      <c r="C58" s="113"/>
      <c r="D58" s="111"/>
      <c r="E58" s="111"/>
      <c r="F58" s="94"/>
      <c r="G58" s="94"/>
      <c r="H58" s="94"/>
      <c r="I58" s="94"/>
      <c r="J58" s="94"/>
      <c r="K58" s="113"/>
      <c r="L58" s="113"/>
      <c r="M58" s="113"/>
      <c r="N58" s="113"/>
    </row>
    <row r="59" spans="2:14" s="195" customFormat="1" ht="18" customHeight="1">
      <c r="B59" s="113" t="s">
        <v>32</v>
      </c>
      <c r="C59" s="113"/>
      <c r="D59" s="111"/>
      <c r="E59" s="94">
        <v>1069.6</v>
      </c>
      <c r="F59" s="94"/>
      <c r="G59" s="94"/>
      <c r="H59" s="94"/>
      <c r="I59" s="94"/>
      <c r="J59" s="94"/>
      <c r="K59" s="113"/>
      <c r="L59" s="113"/>
      <c r="M59" s="113"/>
      <c r="N59" s="113"/>
    </row>
    <row r="60" spans="2:14" s="195" customFormat="1" ht="18" customHeight="1">
      <c r="B60" s="113" t="s">
        <v>4</v>
      </c>
      <c r="C60" s="113"/>
      <c r="D60" s="111">
        <v>3801.46</v>
      </c>
      <c r="E60" s="94">
        <v>1629.24</v>
      </c>
      <c r="F60" s="94">
        <v>1629.24</v>
      </c>
      <c r="G60" s="94">
        <v>15477.44</v>
      </c>
      <c r="H60" s="94">
        <v>13033.58</v>
      </c>
      <c r="I60" s="94">
        <v>10589.8</v>
      </c>
      <c r="J60" s="94">
        <v>7331.4</v>
      </c>
      <c r="K60" s="113"/>
      <c r="L60" s="113"/>
      <c r="M60" s="113"/>
      <c r="N60" s="113"/>
    </row>
    <row r="61" spans="2:14" s="195" customFormat="1" ht="15">
      <c r="B61" s="113" t="s">
        <v>33</v>
      </c>
      <c r="C61" s="113"/>
      <c r="D61" s="111">
        <v>2525.42</v>
      </c>
      <c r="E61" s="94">
        <v>2249.1</v>
      </c>
      <c r="F61" s="94">
        <v>2249.1</v>
      </c>
      <c r="G61" s="94">
        <v>2755</v>
      </c>
      <c r="H61" s="94">
        <v>2755</v>
      </c>
      <c r="I61" s="94">
        <v>2755</v>
      </c>
      <c r="J61" s="94">
        <v>2755</v>
      </c>
      <c r="K61" s="113"/>
      <c r="L61" s="113"/>
      <c r="M61" s="113"/>
      <c r="N61" s="113"/>
    </row>
    <row r="62" spans="2:14" s="195" customFormat="1" ht="15" hidden="1">
      <c r="B62" s="113" t="s">
        <v>498</v>
      </c>
      <c r="C62" s="113"/>
      <c r="D62" s="111">
        <v>14526.56</v>
      </c>
      <c r="E62" s="111"/>
      <c r="F62" s="94"/>
      <c r="G62" s="94">
        <v>15495</v>
      </c>
      <c r="H62" s="94">
        <v>15495</v>
      </c>
      <c r="I62" s="94">
        <v>15495</v>
      </c>
      <c r="J62" s="94">
        <v>15495</v>
      </c>
      <c r="K62" s="113"/>
      <c r="L62" s="113"/>
      <c r="M62" s="113"/>
      <c r="N62" s="113"/>
    </row>
    <row r="63" spans="2:14" s="195" customFormat="1" ht="15">
      <c r="B63" s="113" t="s">
        <v>499</v>
      </c>
      <c r="C63" s="113"/>
      <c r="D63" s="111">
        <v>4682.81</v>
      </c>
      <c r="E63" s="94">
        <v>4078.43</v>
      </c>
      <c r="F63" s="94">
        <v>4078.43</v>
      </c>
      <c r="G63" s="94">
        <v>4995</v>
      </c>
      <c r="H63" s="94">
        <v>4995</v>
      </c>
      <c r="I63" s="94">
        <v>4995</v>
      </c>
      <c r="J63" s="94">
        <v>4995</v>
      </c>
      <c r="K63" s="113"/>
      <c r="L63" s="113"/>
      <c r="M63" s="113"/>
      <c r="N63" s="113"/>
    </row>
    <row r="64" spans="2:14" s="195" customFormat="1" ht="15" hidden="1">
      <c r="B64" s="107" t="s">
        <v>34</v>
      </c>
      <c r="C64" s="113"/>
      <c r="D64" s="111"/>
      <c r="E64" s="111"/>
      <c r="F64" s="94"/>
      <c r="G64" s="94"/>
      <c r="H64" s="94"/>
      <c r="I64" s="94"/>
      <c r="J64" s="94"/>
      <c r="K64" s="113"/>
      <c r="L64" s="113"/>
      <c r="M64" s="113"/>
      <c r="N64" s="113"/>
    </row>
    <row r="65" spans="2:14" s="195" customFormat="1" ht="15">
      <c r="B65" s="107" t="s">
        <v>39</v>
      </c>
      <c r="C65" s="113"/>
      <c r="D65" s="111">
        <v>32333.05</v>
      </c>
      <c r="E65" s="94">
        <f>443.45+1470.08</f>
        <v>1913.53</v>
      </c>
      <c r="F65" s="94">
        <f>443.45+1470.08</f>
        <v>1913.53</v>
      </c>
      <c r="G65" s="94">
        <f>36640.9+1470.08</f>
        <v>38110.98</v>
      </c>
      <c r="H65" s="94">
        <f>36265.9+735.04</f>
        <v>37000.94</v>
      </c>
      <c r="I65" s="94">
        <v>35890.9</v>
      </c>
      <c r="J65" s="94">
        <v>35515.9</v>
      </c>
      <c r="K65" s="113"/>
      <c r="L65" s="113"/>
      <c r="M65" s="113"/>
      <c r="N65" s="113"/>
    </row>
    <row r="66" spans="2:14" s="195" customFormat="1" ht="15">
      <c r="B66" s="113"/>
      <c r="C66" s="113"/>
      <c r="D66" s="222"/>
      <c r="E66" s="222"/>
      <c r="F66" s="108"/>
      <c r="G66" s="108"/>
      <c r="H66" s="94"/>
      <c r="I66" s="94"/>
      <c r="J66" s="94"/>
      <c r="K66" s="113"/>
      <c r="L66" s="113"/>
      <c r="M66" s="113"/>
      <c r="N66" s="113"/>
    </row>
    <row r="67" spans="2:14" s="195" customFormat="1" ht="15.75" thickBot="1">
      <c r="B67" s="104" t="s">
        <v>40</v>
      </c>
      <c r="C67" s="113"/>
      <c r="D67" s="16">
        <f>SUM(D56:D66)</f>
        <v>229482.25</v>
      </c>
      <c r="E67" s="112">
        <f>SUM(E56:E66)</f>
        <v>151976.58</v>
      </c>
      <c r="F67" s="15">
        <f>SUM(F56:F65)</f>
        <v>146825.8</v>
      </c>
      <c r="G67" s="15">
        <f>SUM(G56:G65)</f>
        <v>270092.22</v>
      </c>
      <c r="H67" s="16">
        <f>SUM(H56:H65)</f>
        <v>266538.31999999995</v>
      </c>
      <c r="I67" s="16">
        <f>SUM(I56:I66)</f>
        <v>262984.5</v>
      </c>
      <c r="J67" s="16">
        <f>SUM(J56:J66)</f>
        <v>256976.34999999998</v>
      </c>
      <c r="K67" s="113"/>
      <c r="L67" s="113"/>
      <c r="M67" s="113"/>
      <c r="N67" s="113"/>
    </row>
    <row r="68" spans="6:10" ht="15.75" thickTop="1">
      <c r="F68" s="217"/>
      <c r="I68" s="94"/>
      <c r="J68" s="94"/>
    </row>
    <row r="69" spans="9:10" ht="15">
      <c r="I69" s="94"/>
      <c r="J69" s="94"/>
    </row>
    <row r="70" spans="9:10" ht="15">
      <c r="I70" s="94"/>
      <c r="J70" s="94"/>
    </row>
    <row r="71" spans="2:10" ht="15">
      <c r="B71" s="218" t="s">
        <v>627</v>
      </c>
      <c r="G71" s="94"/>
      <c r="H71" s="94"/>
      <c r="I71" s="94"/>
      <c r="J71" s="94"/>
    </row>
    <row r="72" spans="2:10" ht="15">
      <c r="B72" s="113" t="s">
        <v>29</v>
      </c>
      <c r="D72" s="111">
        <v>171612.95</v>
      </c>
      <c r="E72" s="111">
        <v>25876.88</v>
      </c>
      <c r="F72" s="111">
        <v>15982.28</v>
      </c>
      <c r="G72" s="94">
        <v>25620</v>
      </c>
      <c r="H72" s="94">
        <v>0</v>
      </c>
      <c r="I72" s="94"/>
      <c r="J72" s="94"/>
    </row>
    <row r="73" spans="5:10" ht="15">
      <c r="E73" s="108"/>
      <c r="F73" s="108"/>
      <c r="G73" s="108"/>
      <c r="I73" s="94"/>
      <c r="J73" s="94"/>
    </row>
    <row r="74" spans="2:10" ht="15.75" thickBot="1">
      <c r="B74" s="104" t="s">
        <v>628</v>
      </c>
      <c r="D74" s="16">
        <f>SUM(D63:D73)</f>
        <v>438111.06</v>
      </c>
      <c r="E74" s="112">
        <f>SUM(E72:E73)</f>
        <v>25876.88</v>
      </c>
      <c r="F74" s="15">
        <f>SUM(F72:F73)</f>
        <v>15982.28</v>
      </c>
      <c r="G74" s="15">
        <f>SUM(G72:G73)</f>
        <v>25620</v>
      </c>
      <c r="H74" s="16">
        <f>+H72</f>
        <v>0</v>
      </c>
      <c r="I74" s="94"/>
      <c r="J74" s="94"/>
    </row>
    <row r="75" spans="9:10" ht="15.75" thickTop="1">
      <c r="I75" s="94"/>
      <c r="J75" s="94"/>
    </row>
    <row r="76" spans="9:10" ht="15">
      <c r="I76" s="94"/>
      <c r="J76" s="94"/>
    </row>
    <row r="77" spans="2:10" ht="15">
      <c r="B77" s="218" t="s">
        <v>629</v>
      </c>
      <c r="G77" s="94"/>
      <c r="H77" s="94"/>
      <c r="I77" s="94"/>
      <c r="J77" s="94"/>
    </row>
    <row r="78" spans="2:10" ht="15">
      <c r="B78" s="113" t="s">
        <v>29</v>
      </c>
      <c r="D78" s="111">
        <v>171612.95</v>
      </c>
      <c r="E78" s="111">
        <v>30849.19</v>
      </c>
      <c r="F78" s="111">
        <v>18509.47</v>
      </c>
      <c r="G78" s="94">
        <v>15434.56</v>
      </c>
      <c r="H78" s="94">
        <v>0</v>
      </c>
      <c r="I78" s="94"/>
      <c r="J78" s="94"/>
    </row>
    <row r="79" spans="5:10" ht="15">
      <c r="E79" s="223"/>
      <c r="F79" s="223"/>
      <c r="G79" s="223"/>
      <c r="I79" s="94"/>
      <c r="J79" s="94"/>
    </row>
    <row r="80" spans="2:10" ht="15.75" thickBot="1">
      <c r="B80" s="104" t="s">
        <v>628</v>
      </c>
      <c r="D80" s="16">
        <f>SUM(D69:D79)</f>
        <v>781336.96</v>
      </c>
      <c r="E80" s="15">
        <f>SUM(E78:E79)</f>
        <v>30849.19</v>
      </c>
      <c r="F80" s="15">
        <f>SUM(F78)</f>
        <v>18509.47</v>
      </c>
      <c r="G80" s="15">
        <f>SUM(G78:G79)</f>
        <v>15434.56</v>
      </c>
      <c r="H80" s="16">
        <f>+H78</f>
        <v>0</v>
      </c>
      <c r="I80" s="94"/>
      <c r="J80" s="94"/>
    </row>
    <row r="81" spans="9:10" ht="15.75" thickTop="1">
      <c r="I81" s="94"/>
      <c r="J81" s="94"/>
    </row>
    <row r="82" spans="9:10" ht="15">
      <c r="I82" s="94"/>
      <c r="J82" s="94"/>
    </row>
    <row r="83" spans="9:10" ht="15">
      <c r="I83" s="94"/>
      <c r="J83" s="94"/>
    </row>
    <row r="84" spans="2:10" ht="15">
      <c r="B84" s="104" t="s">
        <v>41</v>
      </c>
      <c r="I84" s="94"/>
      <c r="J84" s="94"/>
    </row>
    <row r="85" spans="9:10" ht="15">
      <c r="I85" s="94"/>
      <c r="J85" s="94"/>
    </row>
    <row r="86" spans="2:10" ht="15">
      <c r="B86" s="113" t="s">
        <v>5</v>
      </c>
      <c r="D86" s="94">
        <v>2364459.22</v>
      </c>
      <c r="E86" s="94">
        <v>4581168.39</v>
      </c>
      <c r="F86" s="94">
        <v>4367920.47</v>
      </c>
      <c r="G86" s="94">
        <v>3728176.59</v>
      </c>
      <c r="H86" s="94">
        <v>3195056.59</v>
      </c>
      <c r="I86" s="94">
        <v>2661936.59</v>
      </c>
      <c r="J86" s="94">
        <v>2395376.59</v>
      </c>
    </row>
    <row r="87" spans="1:14" s="176" customFormat="1" ht="15">
      <c r="A87" s="96" t="s">
        <v>97</v>
      </c>
      <c r="B87" s="113" t="s">
        <v>697</v>
      </c>
      <c r="C87" s="113"/>
      <c r="D87" s="94"/>
      <c r="E87" s="94">
        <v>8211.83</v>
      </c>
      <c r="F87" s="94"/>
      <c r="G87" s="94"/>
      <c r="H87" s="94"/>
      <c r="I87" s="94"/>
      <c r="J87" s="94"/>
      <c r="K87" s="113"/>
      <c r="L87" s="113"/>
      <c r="M87" s="113"/>
      <c r="N87" s="113"/>
    </row>
    <row r="88" spans="2:10" ht="15">
      <c r="B88" s="113" t="s">
        <v>42</v>
      </c>
      <c r="D88" s="94">
        <v>11666504.44</v>
      </c>
      <c r="E88" s="94">
        <v>14800216.23</v>
      </c>
      <c r="F88" s="94">
        <v>14029992.38</v>
      </c>
      <c r="G88" s="94">
        <v>13165046.1</v>
      </c>
      <c r="H88" s="94">
        <v>12415775.27</v>
      </c>
      <c r="I88" s="94">
        <v>11666504.44</v>
      </c>
      <c r="J88" s="94">
        <v>11666504.44</v>
      </c>
    </row>
    <row r="89" spans="2:10" ht="15">
      <c r="B89" s="113" t="s">
        <v>6</v>
      </c>
      <c r="D89" s="94">
        <v>562854.95</v>
      </c>
      <c r="E89" s="94">
        <f>454409.6+227112.03</f>
        <v>681521.63</v>
      </c>
      <c r="F89" s="94">
        <f>454409.6+227112.03</f>
        <v>681521.63</v>
      </c>
      <c r="G89" s="94">
        <v>681521.63</v>
      </c>
      <c r="H89" s="94">
        <v>681521.63</v>
      </c>
      <c r="I89" s="94">
        <v>681521.63</v>
      </c>
      <c r="J89" s="94">
        <v>634054.95</v>
      </c>
    </row>
    <row r="90" spans="1:10" ht="15">
      <c r="A90" s="96" t="s">
        <v>97</v>
      </c>
      <c r="B90" s="113" t="s">
        <v>719</v>
      </c>
      <c r="D90" s="223"/>
      <c r="E90" s="94">
        <v>380981.52</v>
      </c>
      <c r="F90" s="214"/>
      <c r="G90" s="94"/>
      <c r="H90" s="94"/>
      <c r="I90" s="94"/>
      <c r="J90" s="94"/>
    </row>
    <row r="91" spans="2:10" ht="15.75" thickBot="1">
      <c r="B91" s="104" t="s">
        <v>43</v>
      </c>
      <c r="D91" s="109">
        <f aca="true" t="shared" si="2" ref="D91:J91">SUM(D86:D90)</f>
        <v>14593818.61</v>
      </c>
      <c r="E91" s="109">
        <f>SUM(E86:E90)</f>
        <v>20452099.599999998</v>
      </c>
      <c r="F91" s="109">
        <f t="shared" si="2"/>
        <v>19079434.48</v>
      </c>
      <c r="G91" s="109">
        <f t="shared" si="2"/>
        <v>17574744.319999997</v>
      </c>
      <c r="H91" s="109">
        <f t="shared" si="2"/>
        <v>16292353.49</v>
      </c>
      <c r="I91" s="109">
        <f t="shared" si="2"/>
        <v>15009962.66</v>
      </c>
      <c r="J91" s="109">
        <f t="shared" si="2"/>
        <v>14695935.979999999</v>
      </c>
    </row>
    <row r="92" spans="9:10" ht="15.75" thickTop="1">
      <c r="I92" s="94"/>
      <c r="J92" s="94"/>
    </row>
    <row r="93" spans="2:10" ht="15">
      <c r="B93" s="255" t="s">
        <v>720</v>
      </c>
      <c r="I93" s="94"/>
      <c r="J93" s="94"/>
    </row>
    <row r="94" spans="9:10" ht="15">
      <c r="I94" s="94"/>
      <c r="J94" s="94"/>
    </row>
    <row r="95" spans="9:10" ht="15">
      <c r="I95" s="94"/>
      <c r="J95" s="94"/>
    </row>
    <row r="96" spans="9:10" ht="15">
      <c r="I96" s="94"/>
      <c r="J96" s="94"/>
    </row>
    <row r="97" spans="2:10" ht="15">
      <c r="B97" s="104" t="s">
        <v>44</v>
      </c>
      <c r="I97" s="94"/>
      <c r="J97" s="94"/>
    </row>
    <row r="98" spans="2:10" ht="15">
      <c r="B98" s="113" t="s">
        <v>45</v>
      </c>
      <c r="D98" s="94">
        <v>11157432.61</v>
      </c>
      <c r="E98" s="94">
        <v>3634434.79</v>
      </c>
      <c r="F98" s="94">
        <v>1775263.14</v>
      </c>
      <c r="G98" s="94">
        <v>15756036.93</v>
      </c>
      <c r="H98" s="94">
        <v>14458241.2</v>
      </c>
      <c r="I98" s="94">
        <v>13160445.47</v>
      </c>
      <c r="J98" s="94">
        <v>11903520.29</v>
      </c>
    </row>
    <row r="99" spans="2:10" ht="15">
      <c r="B99" s="113" t="s">
        <v>46</v>
      </c>
      <c r="D99" s="94">
        <v>1598208.92</v>
      </c>
      <c r="E99" s="94">
        <v>1987336.62</v>
      </c>
      <c r="F99" s="94">
        <v>1799473.17</v>
      </c>
      <c r="G99" s="94">
        <v>2133936.3</v>
      </c>
      <c r="H99" s="94">
        <v>1994429.42</v>
      </c>
      <c r="I99" s="94">
        <v>1854922.54</v>
      </c>
      <c r="J99" s="94">
        <v>1718787.15</v>
      </c>
    </row>
    <row r="100" spans="2:10" ht="15">
      <c r="B100" s="113" t="s">
        <v>47</v>
      </c>
      <c r="D100" s="94">
        <v>726693.6</v>
      </c>
      <c r="E100" s="94">
        <v>97829.05</v>
      </c>
      <c r="F100" s="94">
        <v>50023.21</v>
      </c>
      <c r="G100" s="94">
        <v>822478.3</v>
      </c>
      <c r="H100" s="94">
        <v>781911.54</v>
      </c>
      <c r="I100" s="94">
        <v>741344.78</v>
      </c>
      <c r="J100" s="94">
        <v>734019.19</v>
      </c>
    </row>
    <row r="101" spans="2:10" ht="15">
      <c r="B101" s="113" t="s">
        <v>48</v>
      </c>
      <c r="D101" s="94">
        <v>1654357.75</v>
      </c>
      <c r="E101" s="94">
        <v>225829.47</v>
      </c>
      <c r="F101" s="94">
        <v>179973.09</v>
      </c>
      <c r="G101" s="94">
        <v>1817137.97</v>
      </c>
      <c r="H101" s="94">
        <v>1791311.32</v>
      </c>
      <c r="I101" s="94">
        <v>1765484.67</v>
      </c>
      <c r="J101" s="94">
        <v>1714920.28</v>
      </c>
    </row>
    <row r="102" spans="2:10" ht="15">
      <c r="B102" s="113" t="s">
        <v>49</v>
      </c>
      <c r="D102" s="94">
        <v>5560644.54</v>
      </c>
      <c r="E102" s="94">
        <f>369326.24+281.2</f>
        <v>369607.44</v>
      </c>
      <c r="F102" s="94">
        <f>275405.76+281.2+14089.51</f>
        <v>289776.47000000003</v>
      </c>
      <c r="G102" s="94">
        <v>7803763.43</v>
      </c>
      <c r="H102" s="94">
        <v>7472369.03</v>
      </c>
      <c r="I102" s="94">
        <v>7140974.63</v>
      </c>
      <c r="J102" s="94">
        <v>6459930.8</v>
      </c>
    </row>
    <row r="103" spans="4:10" ht="15">
      <c r="D103" s="223"/>
      <c r="E103" s="214"/>
      <c r="F103" s="214"/>
      <c r="G103" s="94"/>
      <c r="H103" s="94"/>
      <c r="I103" s="94"/>
      <c r="J103" s="94"/>
    </row>
    <row r="104" spans="2:14" ht="15.75" thickBot="1">
      <c r="B104" s="104" t="s">
        <v>50</v>
      </c>
      <c r="D104" s="109">
        <f aca="true" t="shared" si="3" ref="D104:J104">SUM(D98:D103)</f>
        <v>20697337.419999998</v>
      </c>
      <c r="E104" s="109">
        <f>SUM(E98:E103)</f>
        <v>6315037.37</v>
      </c>
      <c r="F104" s="109">
        <f t="shared" si="3"/>
        <v>4094509.0799999996</v>
      </c>
      <c r="G104" s="109">
        <f t="shared" si="3"/>
        <v>28333352.93</v>
      </c>
      <c r="H104" s="109">
        <f t="shared" si="3"/>
        <v>26498262.51</v>
      </c>
      <c r="I104" s="109">
        <f t="shared" si="3"/>
        <v>24663172.09</v>
      </c>
      <c r="J104" s="109">
        <f t="shared" si="3"/>
        <v>22531177.709999997</v>
      </c>
      <c r="N104" s="113" t="s">
        <v>722</v>
      </c>
    </row>
    <row r="105" spans="9:10" ht="15.75" thickTop="1">
      <c r="I105" s="94"/>
      <c r="J105" s="94"/>
    </row>
    <row r="106" spans="9:10" ht="15">
      <c r="I106" s="94"/>
      <c r="J106" s="94"/>
    </row>
    <row r="107" spans="2:14" s="176" customFormat="1" ht="15">
      <c r="B107" s="113"/>
      <c r="C107" s="113"/>
      <c r="D107" s="107"/>
      <c r="E107" s="107"/>
      <c r="F107" s="107"/>
      <c r="G107" s="107"/>
      <c r="H107" s="107"/>
      <c r="I107" s="94"/>
      <c r="J107" s="94"/>
      <c r="K107" s="113"/>
      <c r="L107" s="113"/>
      <c r="M107" s="113"/>
      <c r="N107" s="113"/>
    </row>
    <row r="108" spans="2:10" ht="15">
      <c r="B108" s="104" t="s">
        <v>51</v>
      </c>
      <c r="I108" s="94"/>
      <c r="J108" s="94"/>
    </row>
    <row r="109" spans="2:10" ht="15">
      <c r="B109" s="104"/>
      <c r="I109" s="94"/>
      <c r="J109" s="94"/>
    </row>
    <row r="110" spans="2:14" s="195" customFormat="1" ht="15">
      <c r="B110" s="113" t="s">
        <v>45</v>
      </c>
      <c r="C110" s="113"/>
      <c r="D110" s="94">
        <v>864909.2</v>
      </c>
      <c r="E110" s="94">
        <v>680791.08</v>
      </c>
      <c r="F110" s="94">
        <v>641925.17</v>
      </c>
      <c r="G110" s="94">
        <v>1070232.1</v>
      </c>
      <c r="H110" s="94">
        <v>1006868.09</v>
      </c>
      <c r="I110" s="94">
        <v>943504.08</v>
      </c>
      <c r="J110" s="94">
        <v>896277.52</v>
      </c>
      <c r="K110" s="113"/>
      <c r="L110" s="113"/>
      <c r="M110" s="113"/>
      <c r="N110" s="113"/>
    </row>
    <row r="111" spans="2:14" s="195" customFormat="1" ht="15">
      <c r="B111" s="113" t="s">
        <v>46</v>
      </c>
      <c r="C111" s="113"/>
      <c r="D111" s="94">
        <v>174955.2</v>
      </c>
      <c r="E111" s="94">
        <v>99284.71</v>
      </c>
      <c r="F111" s="94">
        <v>99284.71</v>
      </c>
      <c r="G111" s="94">
        <v>277776.91</v>
      </c>
      <c r="H111" s="94">
        <v>250762.68</v>
      </c>
      <c r="I111" s="94">
        <v>223748.45</v>
      </c>
      <c r="J111" s="94">
        <v>198505.05</v>
      </c>
      <c r="K111" s="113"/>
      <c r="L111" s="113"/>
      <c r="M111" s="113"/>
      <c r="N111" s="113"/>
    </row>
    <row r="112" spans="2:14" s="195" customFormat="1" ht="15">
      <c r="B112" s="113" t="s">
        <v>47</v>
      </c>
      <c r="C112" s="113"/>
      <c r="D112" s="94">
        <v>1500</v>
      </c>
      <c r="E112" s="94">
        <v>854345.76</v>
      </c>
      <c r="F112" s="94">
        <v>814143.84</v>
      </c>
      <c r="G112" s="94">
        <v>62983.16</v>
      </c>
      <c r="H112" s="94">
        <v>33080.91</v>
      </c>
      <c r="I112" s="94">
        <v>3178.66</v>
      </c>
      <c r="J112" s="94">
        <v>1500</v>
      </c>
      <c r="K112" s="113"/>
      <c r="L112" s="113"/>
      <c r="M112" s="113"/>
      <c r="N112" s="113"/>
    </row>
    <row r="113" spans="2:14" s="195" customFormat="1" ht="15">
      <c r="B113" s="113" t="s">
        <v>48</v>
      </c>
      <c r="C113" s="113"/>
      <c r="D113" s="94">
        <v>146308.07</v>
      </c>
      <c r="E113" s="94">
        <v>110960.55</v>
      </c>
      <c r="F113" s="94">
        <v>110960.55</v>
      </c>
      <c r="G113" s="94">
        <v>157370.57</v>
      </c>
      <c r="H113" s="94">
        <v>155526.82</v>
      </c>
      <c r="I113" s="94">
        <v>153683.07</v>
      </c>
      <c r="J113" s="94">
        <v>149995.57</v>
      </c>
      <c r="K113" s="113"/>
      <c r="L113" s="113"/>
      <c r="M113" s="113"/>
      <c r="N113" s="113"/>
    </row>
    <row r="114" spans="2:14" s="195" customFormat="1" ht="15">
      <c r="B114" s="113" t="s">
        <v>262</v>
      </c>
      <c r="C114" s="113"/>
      <c r="D114" s="224">
        <v>255499.37</v>
      </c>
      <c r="E114" s="215">
        <v>2679.5</v>
      </c>
      <c r="F114" s="215">
        <v>2679.5</v>
      </c>
      <c r="G114" s="94">
        <v>408622.93</v>
      </c>
      <c r="H114" s="94">
        <v>405943.43</v>
      </c>
      <c r="I114" s="94">
        <v>403263.93</v>
      </c>
      <c r="J114" s="94">
        <v>347414.11</v>
      </c>
      <c r="K114" s="113"/>
      <c r="L114" s="113"/>
      <c r="M114" s="113"/>
      <c r="N114" s="113"/>
    </row>
    <row r="115" spans="2:14" s="195" customFormat="1" ht="15.75" thickBot="1">
      <c r="B115" s="104" t="s">
        <v>52</v>
      </c>
      <c r="C115" s="113"/>
      <c r="D115" s="109">
        <f aca="true" t="shared" si="4" ref="D115:J115">SUM(D110:D114)</f>
        <v>1443171.8399999999</v>
      </c>
      <c r="E115" s="109">
        <f>SUM(E110:E114)</f>
        <v>1748061.5999999999</v>
      </c>
      <c r="F115" s="109">
        <f t="shared" si="4"/>
        <v>1668993.77</v>
      </c>
      <c r="G115" s="109">
        <f t="shared" si="4"/>
        <v>1976985.67</v>
      </c>
      <c r="H115" s="109">
        <f t="shared" si="4"/>
        <v>1852181.93</v>
      </c>
      <c r="I115" s="109">
        <f t="shared" si="4"/>
        <v>1727378.19</v>
      </c>
      <c r="J115" s="109">
        <f t="shared" si="4"/>
        <v>1593692.25</v>
      </c>
      <c r="K115" s="113"/>
      <c r="L115" s="113"/>
      <c r="M115" s="113"/>
      <c r="N115" s="113" t="s">
        <v>722</v>
      </c>
    </row>
    <row r="116" spans="2:14" s="195" customFormat="1" ht="15.75" thickTop="1">
      <c r="B116" s="113"/>
      <c r="C116" s="113"/>
      <c r="D116" s="107"/>
      <c r="E116" s="107"/>
      <c r="F116" s="107"/>
      <c r="G116" s="107"/>
      <c r="H116" s="107"/>
      <c r="I116" s="94"/>
      <c r="J116" s="94"/>
      <c r="K116" s="113"/>
      <c r="L116" s="113"/>
      <c r="M116" s="113"/>
      <c r="N116" s="113"/>
    </row>
    <row r="117" spans="9:10" ht="15">
      <c r="I117" s="94"/>
      <c r="J117" s="94"/>
    </row>
    <row r="118" spans="2:10" ht="15">
      <c r="B118" s="104" t="s">
        <v>624</v>
      </c>
      <c r="I118" s="94"/>
      <c r="J118" s="94"/>
    </row>
    <row r="119" spans="9:10" ht="15">
      <c r="I119" s="94"/>
      <c r="J119" s="94"/>
    </row>
    <row r="120" spans="2:10" ht="15">
      <c r="B120" s="113" t="s">
        <v>45</v>
      </c>
      <c r="D120" s="94">
        <v>761494.16</v>
      </c>
      <c r="E120" s="94">
        <v>749688.35</v>
      </c>
      <c r="F120" s="94">
        <v>616775.27</v>
      </c>
      <c r="G120" s="94">
        <v>1004513.33</v>
      </c>
      <c r="H120" s="94">
        <v>934736.7</v>
      </c>
      <c r="I120" s="94">
        <v>864960.07</v>
      </c>
      <c r="J120" s="94">
        <v>795476.71</v>
      </c>
    </row>
    <row r="121" spans="2:10" ht="15">
      <c r="B121" s="113" t="s">
        <v>46</v>
      </c>
      <c r="D121" s="94">
        <v>233972.57</v>
      </c>
      <c r="E121" s="94">
        <v>33972.42</v>
      </c>
      <c r="F121" s="94">
        <v>33972.42</v>
      </c>
      <c r="G121" s="94">
        <v>269329.59</v>
      </c>
      <c r="H121" s="94">
        <v>255875.45</v>
      </c>
      <c r="I121" s="94">
        <v>242421.31</v>
      </c>
      <c r="J121" s="94">
        <v>234371.32</v>
      </c>
    </row>
    <row r="122" spans="2:10" ht="15">
      <c r="B122" s="113" t="s">
        <v>47</v>
      </c>
      <c r="D122" s="94"/>
      <c r="E122" s="94">
        <v>66686.4</v>
      </c>
      <c r="F122" s="94">
        <v>28522.38</v>
      </c>
      <c r="G122" s="94">
        <v>28509.26</v>
      </c>
      <c r="H122" s="94">
        <v>14254.63</v>
      </c>
      <c r="I122" s="94"/>
      <c r="J122" s="94"/>
    </row>
    <row r="123" spans="2:10" ht="15">
      <c r="B123" s="113" t="s">
        <v>48</v>
      </c>
      <c r="D123" s="94">
        <v>82431.3</v>
      </c>
      <c r="E123" s="94">
        <v>83529.93</v>
      </c>
      <c r="F123" s="94">
        <v>83529.93</v>
      </c>
      <c r="G123" s="94">
        <v>93493.8</v>
      </c>
      <c r="H123" s="94">
        <v>91650.05</v>
      </c>
      <c r="I123" s="94">
        <v>89806.3</v>
      </c>
      <c r="J123" s="94">
        <v>86118.8</v>
      </c>
    </row>
    <row r="124" spans="2:10" ht="15">
      <c r="B124" s="113" t="s">
        <v>53</v>
      </c>
      <c r="D124" s="108">
        <v>131652.35</v>
      </c>
      <c r="E124" s="108">
        <v>8247.74</v>
      </c>
      <c r="F124" s="108">
        <v>2679.5</v>
      </c>
      <c r="G124" s="108">
        <v>223818.09</v>
      </c>
      <c r="H124" s="108">
        <v>221138.59</v>
      </c>
      <c r="I124" s="108">
        <v>218459.09</v>
      </c>
      <c r="J124" s="108">
        <v>185974.51</v>
      </c>
    </row>
    <row r="125" ht="15">
      <c r="J125" s="107"/>
    </row>
    <row r="126" spans="2:14" ht="15.75" thickBot="1">
      <c r="B126" s="104" t="s">
        <v>54</v>
      </c>
      <c r="D126" s="15">
        <f>SUM(D120:D125)</f>
        <v>1209550.3800000001</v>
      </c>
      <c r="E126" s="15">
        <f>SUM(E120:E125)</f>
        <v>942124.8400000001</v>
      </c>
      <c r="F126" s="15">
        <f>SUM(F120:F124)</f>
        <v>765479.5</v>
      </c>
      <c r="G126" s="15">
        <f>SUM(G120:G125)</f>
        <v>1619664.07</v>
      </c>
      <c r="H126" s="15">
        <f>SUM(H120:H125)</f>
        <v>1517655.42</v>
      </c>
      <c r="I126" s="15">
        <f>SUM(I120:I124)</f>
        <v>1415646.77</v>
      </c>
      <c r="J126" s="15">
        <f>SUM(J120:J124)</f>
        <v>1301941.34</v>
      </c>
      <c r="N126" s="113" t="s">
        <v>722</v>
      </c>
    </row>
    <row r="127" spans="9:10" ht="15.75" thickTop="1">
      <c r="I127" s="94"/>
      <c r="J127" s="94"/>
    </row>
    <row r="128" spans="9:10" ht="15">
      <c r="I128" s="94"/>
      <c r="J128" s="94"/>
    </row>
    <row r="129" spans="2:14" s="195" customFormat="1" ht="15">
      <c r="B129" s="104" t="s">
        <v>279</v>
      </c>
      <c r="C129" s="113"/>
      <c r="D129" s="107"/>
      <c r="E129" s="107"/>
      <c r="F129" s="107"/>
      <c r="G129" s="107"/>
      <c r="H129" s="107"/>
      <c r="I129" s="94"/>
      <c r="J129" s="94"/>
      <c r="K129" s="113"/>
      <c r="L129" s="113"/>
      <c r="M129" s="113"/>
      <c r="N129" s="113"/>
    </row>
    <row r="130" spans="2:14" s="195" customFormat="1" ht="15">
      <c r="B130" s="113"/>
      <c r="C130" s="113"/>
      <c r="D130" s="107"/>
      <c r="E130" s="107"/>
      <c r="F130" s="107"/>
      <c r="G130" s="107"/>
      <c r="H130" s="107"/>
      <c r="I130" s="94"/>
      <c r="J130" s="94"/>
      <c r="K130" s="113"/>
      <c r="L130" s="113"/>
      <c r="M130" s="113"/>
      <c r="N130" s="113"/>
    </row>
    <row r="131" spans="2:14" s="195" customFormat="1" ht="15">
      <c r="B131" s="113" t="s">
        <v>45</v>
      </c>
      <c r="C131" s="113"/>
      <c r="D131" s="94">
        <v>88622.62</v>
      </c>
      <c r="E131" s="94">
        <v>92592.26</v>
      </c>
      <c r="F131" s="94">
        <v>92592.26</v>
      </c>
      <c r="G131" s="94">
        <v>166881.08</v>
      </c>
      <c r="H131" s="94">
        <v>148060.08</v>
      </c>
      <c r="I131" s="94">
        <v>129239.08</v>
      </c>
      <c r="J131" s="94">
        <v>110418.08</v>
      </c>
      <c r="K131" s="113"/>
      <c r="L131" s="113"/>
      <c r="M131" s="113"/>
      <c r="N131" s="113"/>
    </row>
    <row r="132" spans="2:14" s="195" customFormat="1" ht="15">
      <c r="B132" s="113" t="s">
        <v>46</v>
      </c>
      <c r="C132" s="113"/>
      <c r="D132" s="94">
        <v>95654.16</v>
      </c>
      <c r="E132" s="94">
        <v>32827.44</v>
      </c>
      <c r="F132" s="94">
        <v>32827.44</v>
      </c>
      <c r="G132" s="94">
        <v>116314.66</v>
      </c>
      <c r="H132" s="94">
        <v>110739.66</v>
      </c>
      <c r="I132" s="94">
        <v>105164.66</v>
      </c>
      <c r="J132" s="94">
        <v>99589.66</v>
      </c>
      <c r="K132" s="113"/>
      <c r="L132" s="113"/>
      <c r="M132" s="113"/>
      <c r="N132" s="113"/>
    </row>
    <row r="133" spans="2:14" s="195" customFormat="1" ht="15">
      <c r="B133" s="113" t="s">
        <v>47</v>
      </c>
      <c r="C133" s="113"/>
      <c r="D133" s="94"/>
      <c r="E133" s="94">
        <v>1219.8</v>
      </c>
      <c r="F133" s="94">
        <v>1219.8</v>
      </c>
      <c r="G133" s="94">
        <v>8538.54</v>
      </c>
      <c r="H133" s="94">
        <v>4269.27</v>
      </c>
      <c r="I133" s="94"/>
      <c r="J133" s="94"/>
      <c r="K133" s="113"/>
      <c r="L133" s="113"/>
      <c r="M133" s="113"/>
      <c r="N133" s="113"/>
    </row>
    <row r="134" spans="2:14" s="195" customFormat="1" ht="15">
      <c r="B134" s="113" t="s">
        <v>48</v>
      </c>
      <c r="C134" s="113"/>
      <c r="D134" s="94">
        <v>28074.96</v>
      </c>
      <c r="E134" s="94">
        <v>41862.52</v>
      </c>
      <c r="F134" s="94">
        <v>41862.52</v>
      </c>
      <c r="G134" s="94">
        <v>30390.42</v>
      </c>
      <c r="H134" s="94">
        <v>30390.42</v>
      </c>
      <c r="I134" s="94">
        <v>30390.42</v>
      </c>
      <c r="J134" s="94">
        <v>30390.42</v>
      </c>
      <c r="K134" s="113"/>
      <c r="L134" s="113"/>
      <c r="M134" s="113"/>
      <c r="N134" s="113"/>
    </row>
    <row r="135" spans="2:14" s="195" customFormat="1" ht="15">
      <c r="B135" s="113" t="s">
        <v>53</v>
      </c>
      <c r="C135" s="113"/>
      <c r="D135" s="108"/>
      <c r="E135" s="108"/>
      <c r="F135" s="108"/>
      <c r="G135" s="108"/>
      <c r="H135" s="108"/>
      <c r="I135" s="108"/>
      <c r="J135" s="108"/>
      <c r="K135" s="113"/>
      <c r="L135" s="113"/>
      <c r="M135" s="113"/>
      <c r="N135" s="113"/>
    </row>
    <row r="136" spans="2:14" s="195" customFormat="1" ht="15">
      <c r="B136" s="113"/>
      <c r="C136" s="113"/>
      <c r="D136" s="107"/>
      <c r="E136" s="107"/>
      <c r="F136" s="107"/>
      <c r="G136" s="94"/>
      <c r="H136" s="94"/>
      <c r="I136" s="94"/>
      <c r="J136" s="94"/>
      <c r="K136" s="113"/>
      <c r="L136" s="113"/>
      <c r="M136" s="113"/>
      <c r="N136" s="113"/>
    </row>
    <row r="137" spans="2:16" s="195" customFormat="1" ht="15.75" thickBot="1">
      <c r="B137" s="104" t="s">
        <v>55</v>
      </c>
      <c r="C137" s="113"/>
      <c r="D137" s="15">
        <f>SUM(D131:D136)</f>
        <v>212351.74</v>
      </c>
      <c r="E137" s="15">
        <f>SUM(E131:E136)</f>
        <v>168502.02</v>
      </c>
      <c r="F137" s="15">
        <f>SUM(F131:F136)</f>
        <v>168502.02</v>
      </c>
      <c r="G137" s="15">
        <f>SUM(G131:G136)</f>
        <v>322124.69999999995</v>
      </c>
      <c r="H137" s="15">
        <f>SUM(H131:H136)</f>
        <v>293459.43</v>
      </c>
      <c r="I137" s="15">
        <f>SUM(I131:I135)</f>
        <v>264794.16</v>
      </c>
      <c r="J137" s="15">
        <f>SUM(J131:J136)</f>
        <v>240398.15999999997</v>
      </c>
      <c r="K137" s="113"/>
      <c r="L137" s="113"/>
      <c r="M137" s="113"/>
      <c r="N137" s="228" t="s">
        <v>722</v>
      </c>
      <c r="O137" s="228"/>
      <c r="P137" s="230"/>
    </row>
    <row r="138" spans="9:10" ht="15.75" thickTop="1">
      <c r="I138" s="94"/>
      <c r="J138" s="94"/>
    </row>
    <row r="139" spans="9:10" ht="15">
      <c r="I139" s="94"/>
      <c r="J139" s="94"/>
    </row>
    <row r="140" spans="2:10" ht="15">
      <c r="B140" s="104" t="s">
        <v>630</v>
      </c>
      <c r="I140" s="94"/>
      <c r="J140" s="94"/>
    </row>
    <row r="141" spans="9:10" ht="15">
      <c r="I141" s="94"/>
      <c r="J141" s="94"/>
    </row>
    <row r="142" spans="2:10" ht="15">
      <c r="B142" s="113" t="s">
        <v>53</v>
      </c>
      <c r="D142" s="108"/>
      <c r="E142" s="108">
        <v>52805.36</v>
      </c>
      <c r="F142" s="108">
        <f>15525.97-14089.51</f>
        <v>1436.4599999999991</v>
      </c>
      <c r="G142" s="108">
        <v>437.5</v>
      </c>
      <c r="H142" s="108"/>
      <c r="I142" s="94"/>
      <c r="J142" s="94"/>
    </row>
    <row r="143" spans="2:14" ht="15">
      <c r="B143" s="104" t="s">
        <v>631</v>
      </c>
      <c r="E143" s="110">
        <f>SUM(E142)</f>
        <v>52805.36</v>
      </c>
      <c r="F143" s="110">
        <f>SUM(F142)</f>
        <v>1436.4599999999991</v>
      </c>
      <c r="G143" s="110">
        <f>+G142</f>
        <v>437.5</v>
      </c>
      <c r="H143" s="110">
        <f>+H142</f>
        <v>0</v>
      </c>
      <c r="I143" s="94"/>
      <c r="J143" s="94"/>
      <c r="N143" s="113" t="s">
        <v>722</v>
      </c>
    </row>
    <row r="144" spans="9:10" ht="15">
      <c r="I144" s="94"/>
      <c r="J144" s="94"/>
    </row>
    <row r="145" spans="2:10" ht="15">
      <c r="B145" s="104" t="s">
        <v>678</v>
      </c>
      <c r="I145" s="94"/>
      <c r="J145" s="94"/>
    </row>
    <row r="146" spans="2:10" ht="15">
      <c r="B146" s="113" t="s">
        <v>53</v>
      </c>
      <c r="D146" s="108"/>
      <c r="E146" s="108">
        <v>71250.57</v>
      </c>
      <c r="F146" s="108">
        <v>46466.25</v>
      </c>
      <c r="G146" s="108">
        <v>0</v>
      </c>
      <c r="H146" s="108"/>
      <c r="I146" s="94"/>
      <c r="J146" s="94"/>
    </row>
    <row r="147" spans="2:14" ht="15.75" thickBot="1">
      <c r="B147" s="104" t="s">
        <v>677</v>
      </c>
      <c r="E147" s="109">
        <f>SUM(E146)</f>
        <v>71250.57</v>
      </c>
      <c r="F147" s="109">
        <f>SUM(F146)</f>
        <v>46466.25</v>
      </c>
      <c r="G147" s="109">
        <f>+G146</f>
        <v>0</v>
      </c>
      <c r="H147" s="110">
        <f>+H146</f>
        <v>0</v>
      </c>
      <c r="I147" s="94"/>
      <c r="J147" s="94"/>
      <c r="N147" s="113" t="s">
        <v>722</v>
      </c>
    </row>
    <row r="148" spans="9:10" ht="15.75" thickTop="1">
      <c r="I148" s="94"/>
      <c r="J148" s="94"/>
    </row>
    <row r="149" spans="9:10" ht="15">
      <c r="I149" s="94"/>
      <c r="J149" s="94"/>
    </row>
    <row r="150" spans="2:14" s="176" customFormat="1" ht="15">
      <c r="B150" s="113"/>
      <c r="C150" s="113"/>
      <c r="D150" s="107"/>
      <c r="E150" s="107"/>
      <c r="F150" s="107"/>
      <c r="G150" s="107"/>
      <c r="H150" s="107"/>
      <c r="I150" s="94"/>
      <c r="J150" s="94"/>
      <c r="K150" s="113"/>
      <c r="L150" s="113"/>
      <c r="M150" s="113"/>
      <c r="N150" s="113"/>
    </row>
    <row r="151" spans="2:10" ht="15">
      <c r="B151" s="104" t="s">
        <v>56</v>
      </c>
      <c r="I151" s="94"/>
      <c r="J151" s="94"/>
    </row>
    <row r="152" spans="2:10" ht="15">
      <c r="B152" s="104"/>
      <c r="I152" s="94"/>
      <c r="J152" s="94"/>
    </row>
    <row r="153" spans="2:10" ht="15">
      <c r="B153" s="113" t="s">
        <v>57</v>
      </c>
      <c r="D153" s="111">
        <f>53855.61+14902.52+1909.28</f>
        <v>70667.41</v>
      </c>
      <c r="E153" s="94">
        <v>70667.41</v>
      </c>
      <c r="F153" s="94">
        <v>70667.41</v>
      </c>
      <c r="G153" s="94">
        <v>70667.41</v>
      </c>
      <c r="H153" s="94">
        <v>70667.41</v>
      </c>
      <c r="I153" s="94">
        <v>70667.41</v>
      </c>
      <c r="J153" s="94">
        <v>70667.41</v>
      </c>
    </row>
    <row r="154" spans="2:10" ht="15">
      <c r="B154" s="113" t="s">
        <v>58</v>
      </c>
      <c r="D154" s="222">
        <f>7150.79+1334.8</f>
        <v>8485.59</v>
      </c>
      <c r="E154" s="108">
        <f>8485.59+53080.34</f>
        <v>61565.92999999999</v>
      </c>
      <c r="F154" s="108">
        <f>8485.59+53080.34</f>
        <v>61565.92999999999</v>
      </c>
      <c r="G154" s="108">
        <f>8485.59+42464.26</f>
        <v>50949.850000000006</v>
      </c>
      <c r="H154" s="108">
        <f>8485.59+21232.13</f>
        <v>29717.72</v>
      </c>
      <c r="I154" s="108">
        <v>8485.59</v>
      </c>
      <c r="J154" s="108">
        <v>8485.59</v>
      </c>
    </row>
    <row r="155" spans="4:10" ht="15">
      <c r="D155" s="111"/>
      <c r="E155" s="111"/>
      <c r="F155" s="111"/>
      <c r="G155" s="111"/>
      <c r="H155" s="111"/>
      <c r="I155" s="111"/>
      <c r="J155" s="111"/>
    </row>
    <row r="156" spans="2:10" ht="15.75" thickBot="1">
      <c r="B156" s="104" t="s">
        <v>59</v>
      </c>
      <c r="D156" s="112">
        <f aca="true" t="shared" si="5" ref="D156:J156">SUM(D153:D155)</f>
        <v>79153</v>
      </c>
      <c r="E156" s="112">
        <f>SUM(E153:E155)</f>
        <v>132233.34</v>
      </c>
      <c r="F156" s="112">
        <f t="shared" si="5"/>
        <v>132233.34</v>
      </c>
      <c r="G156" s="112">
        <f t="shared" si="5"/>
        <v>121617.26000000001</v>
      </c>
      <c r="H156" s="112">
        <f t="shared" si="5"/>
        <v>100385.13</v>
      </c>
      <c r="I156" s="112">
        <f t="shared" si="5"/>
        <v>79153</v>
      </c>
      <c r="J156" s="112">
        <f t="shared" si="5"/>
        <v>79153</v>
      </c>
    </row>
    <row r="157" spans="4:10" ht="15.75" thickTop="1">
      <c r="D157" s="111"/>
      <c r="E157" s="111"/>
      <c r="F157" s="111"/>
      <c r="G157" s="111"/>
      <c r="H157" s="111"/>
      <c r="I157" s="94"/>
      <c r="J157" s="94"/>
    </row>
    <row r="158" spans="9:10" ht="15">
      <c r="I158" s="94"/>
      <c r="J158" s="94"/>
    </row>
    <row r="159" spans="2:10" ht="15">
      <c r="B159" s="104" t="s">
        <v>60</v>
      </c>
      <c r="I159" s="94"/>
      <c r="J159" s="94"/>
    </row>
    <row r="160" spans="2:10" ht="15">
      <c r="B160" s="104"/>
      <c r="I160" s="94"/>
      <c r="J160" s="94"/>
    </row>
    <row r="161" spans="2:10" ht="15">
      <c r="B161" s="113" t="s">
        <v>61</v>
      </c>
      <c r="D161" s="111">
        <v>1451.05</v>
      </c>
      <c r="E161" s="94">
        <v>1451.05</v>
      </c>
      <c r="F161" s="94">
        <v>1451.05</v>
      </c>
      <c r="G161" s="94">
        <v>1451.05</v>
      </c>
      <c r="H161" s="94">
        <v>1451.05</v>
      </c>
      <c r="I161" s="94">
        <v>1451.05</v>
      </c>
      <c r="J161" s="94">
        <v>1451.05</v>
      </c>
    </row>
    <row r="162" spans="2:13" ht="15">
      <c r="B162" s="113" t="s">
        <v>61</v>
      </c>
      <c r="D162" s="111">
        <f>608473.69+160915.96+15400.77+9999.32</f>
        <v>794789.7399999999</v>
      </c>
      <c r="E162" s="94">
        <f>334847.26+116792.38+41661.19+19996.66</f>
        <v>513297.49</v>
      </c>
      <c r="F162" s="94">
        <f>235758.13+116792.38+36124.87+19996.66</f>
        <v>408672.04</v>
      </c>
      <c r="G162" s="94">
        <f>1100407.85+209937.58+38242.14+19998.64</f>
        <v>1368586.21</v>
      </c>
      <c r="H162" s="94">
        <f>985146.52+208077.68+36329.69+19998.64</f>
        <v>1249552.5299999998</v>
      </c>
      <c r="I162" s="94">
        <f>869885.19+206217.78+34417.24+19998.64</f>
        <v>1130518.8499999999</v>
      </c>
      <c r="J162" s="94">
        <f>728743.36+184472.95+24804.37+15415.62</f>
        <v>953436.3</v>
      </c>
      <c r="M162" s="225"/>
    </row>
    <row r="163" spans="4:10" ht="15">
      <c r="D163" s="222"/>
      <c r="E163" s="213"/>
      <c r="F163" s="213"/>
      <c r="G163" s="94"/>
      <c r="H163" s="94"/>
      <c r="I163" s="94"/>
      <c r="J163" s="94"/>
    </row>
    <row r="164" spans="2:10" ht="15.75" thickBot="1">
      <c r="B164" s="104" t="s">
        <v>62</v>
      </c>
      <c r="D164" s="16">
        <f aca="true" t="shared" si="6" ref="D164:J164">SUM(D161:D163)</f>
        <v>796240.7899999999</v>
      </c>
      <c r="E164" s="109">
        <f>SUM(E161:E162)</f>
        <v>514748.54</v>
      </c>
      <c r="F164" s="109">
        <f t="shared" si="6"/>
        <v>410123.08999999997</v>
      </c>
      <c r="G164" s="109">
        <f t="shared" si="6"/>
        <v>1370037.26</v>
      </c>
      <c r="H164" s="16">
        <f t="shared" si="6"/>
        <v>1251003.5799999998</v>
      </c>
      <c r="I164" s="16">
        <f t="shared" si="6"/>
        <v>1131969.9</v>
      </c>
      <c r="J164" s="16">
        <f t="shared" si="6"/>
        <v>954887.3500000001</v>
      </c>
    </row>
    <row r="165" spans="9:10" ht="15.75" thickTop="1">
      <c r="I165" s="94"/>
      <c r="J165" s="94"/>
    </row>
    <row r="166" spans="9:10" ht="15" hidden="1">
      <c r="I166" s="94"/>
      <c r="J166" s="94"/>
    </row>
    <row r="167" spans="9:10" ht="15" hidden="1">
      <c r="I167" s="94"/>
      <c r="J167" s="94"/>
    </row>
    <row r="168" spans="2:10" ht="15" hidden="1">
      <c r="B168" s="104" t="s">
        <v>63</v>
      </c>
      <c r="I168" s="94"/>
      <c r="J168" s="94"/>
    </row>
    <row r="169" spans="9:10" ht="15" hidden="1">
      <c r="I169" s="94"/>
      <c r="J169" s="94"/>
    </row>
    <row r="170" spans="4:10" ht="15">
      <c r="D170" s="111"/>
      <c r="E170" s="111"/>
      <c r="F170" s="111"/>
      <c r="G170" s="111"/>
      <c r="H170" s="111"/>
      <c r="I170" s="94"/>
      <c r="J170" s="94"/>
    </row>
    <row r="171" spans="4:10" ht="15">
      <c r="D171" s="111"/>
      <c r="E171" s="111"/>
      <c r="F171" s="111"/>
      <c r="G171" s="111"/>
      <c r="H171" s="111"/>
      <c r="I171" s="94"/>
      <c r="J171" s="94"/>
    </row>
    <row r="172" spans="2:10" ht="15">
      <c r="B172" s="104" t="s">
        <v>66</v>
      </c>
      <c r="I172" s="94"/>
      <c r="J172" s="94"/>
    </row>
    <row r="173" spans="2:10" ht="15">
      <c r="B173" s="104"/>
      <c r="I173" s="94"/>
      <c r="J173" s="94"/>
    </row>
    <row r="174" spans="2:10" ht="15">
      <c r="B174" s="113" t="s">
        <v>67</v>
      </c>
      <c r="D174" s="111">
        <v>2946.78</v>
      </c>
      <c r="E174" s="111"/>
      <c r="F174" s="111"/>
      <c r="G174" s="94">
        <v>2946.78</v>
      </c>
      <c r="H174" s="94">
        <v>2946.78</v>
      </c>
      <c r="I174" s="94">
        <v>2946.78</v>
      </c>
      <c r="J174" s="94">
        <v>2946.78</v>
      </c>
    </row>
    <row r="175" spans="2:10" ht="15">
      <c r="B175" s="113" t="s">
        <v>68</v>
      </c>
      <c r="D175" s="111">
        <v>164923.22</v>
      </c>
      <c r="E175" s="111"/>
      <c r="F175" s="111"/>
      <c r="G175" s="94">
        <v>164923.22</v>
      </c>
      <c r="H175" s="94">
        <v>164923.22</v>
      </c>
      <c r="I175" s="94">
        <v>164923.22</v>
      </c>
      <c r="J175" s="94">
        <v>164923.22</v>
      </c>
    </row>
    <row r="176" spans="2:14" s="195" customFormat="1" ht="15">
      <c r="B176" s="113" t="s">
        <v>69</v>
      </c>
      <c r="C176" s="113"/>
      <c r="D176" s="111">
        <v>161485.57</v>
      </c>
      <c r="E176" s="111"/>
      <c r="F176" s="111"/>
      <c r="G176" s="94">
        <v>170919.34</v>
      </c>
      <c r="H176" s="94">
        <v>170919.34</v>
      </c>
      <c r="I176" s="94">
        <v>170919.34</v>
      </c>
      <c r="J176" s="94">
        <v>165023.23</v>
      </c>
      <c r="K176" s="113"/>
      <c r="L176" s="113"/>
      <c r="M176" s="113"/>
      <c r="N176" s="113"/>
    </row>
    <row r="177" spans="2:10" ht="15">
      <c r="B177" s="113" t="s">
        <v>263</v>
      </c>
      <c r="D177" s="222">
        <v>70753.2</v>
      </c>
      <c r="E177" s="213">
        <v>176758.53</v>
      </c>
      <c r="F177" s="94">
        <v>176758.53</v>
      </c>
      <c r="G177" s="94">
        <v>162805.63</v>
      </c>
      <c r="H177" s="94">
        <v>132109.28</v>
      </c>
      <c r="I177" s="94">
        <v>101412.93</v>
      </c>
      <c r="J177" s="94">
        <v>95516.82</v>
      </c>
    </row>
    <row r="178" spans="2:10" ht="15.75" thickBot="1">
      <c r="B178" s="104" t="s">
        <v>70</v>
      </c>
      <c r="D178" s="16">
        <f aca="true" t="shared" si="7" ref="D178:J178">SUM(D174:D177)</f>
        <v>400108.77</v>
      </c>
      <c r="E178" s="16">
        <f>SUM(E177)</f>
        <v>176758.53</v>
      </c>
      <c r="F178" s="109">
        <f t="shared" si="7"/>
        <v>176758.53</v>
      </c>
      <c r="G178" s="109">
        <f t="shared" si="7"/>
        <v>501594.97</v>
      </c>
      <c r="H178" s="16">
        <f t="shared" si="7"/>
        <v>470898.62</v>
      </c>
      <c r="I178" s="16">
        <f t="shared" si="7"/>
        <v>440202.26999999996</v>
      </c>
      <c r="J178" s="16">
        <f t="shared" si="7"/>
        <v>428410.05</v>
      </c>
    </row>
    <row r="179" spans="9:10" ht="15.75" thickTop="1">
      <c r="I179" s="94"/>
      <c r="J179" s="94"/>
    </row>
    <row r="180" spans="9:10" ht="15">
      <c r="I180" s="94"/>
      <c r="J180" s="94"/>
    </row>
    <row r="181" spans="9:10" ht="15">
      <c r="I181" s="94"/>
      <c r="J181" s="94"/>
    </row>
    <row r="182" spans="2:10" ht="15">
      <c r="B182" s="104" t="s">
        <v>71</v>
      </c>
      <c r="I182" s="94"/>
      <c r="J182" s="94"/>
    </row>
    <row r="183" spans="9:10" ht="15">
      <c r="I183" s="94"/>
      <c r="J183" s="94"/>
    </row>
    <row r="184" spans="2:10" ht="15">
      <c r="B184" s="113" t="s">
        <v>72</v>
      </c>
      <c r="D184" s="111">
        <v>2701193.01</v>
      </c>
      <c r="E184" s="111">
        <v>1334251.54</v>
      </c>
      <c r="F184" s="94">
        <v>1167470.14</v>
      </c>
      <c r="G184" s="94">
        <v>2094464.16</v>
      </c>
      <c r="H184" s="94">
        <v>2094464.16</v>
      </c>
      <c r="I184" s="94">
        <v>2094464.16</v>
      </c>
      <c r="J184" s="94">
        <v>2720615.06</v>
      </c>
    </row>
    <row r="185" spans="2:10" ht="15">
      <c r="B185" s="113" t="s">
        <v>73</v>
      </c>
      <c r="D185" s="111">
        <v>2815725.19</v>
      </c>
      <c r="E185" s="111">
        <v>958646.71</v>
      </c>
      <c r="F185" s="94">
        <v>814121.21</v>
      </c>
      <c r="G185" s="94">
        <v>3810428.72</v>
      </c>
      <c r="H185" s="94">
        <v>3582012.05</v>
      </c>
      <c r="I185" s="94">
        <v>3353595.38</v>
      </c>
      <c r="J185" s="94">
        <v>3090919.65</v>
      </c>
    </row>
    <row r="186" ht="15">
      <c r="J186" s="94">
        <v>876305.27</v>
      </c>
    </row>
    <row r="187" spans="4:10" ht="15" hidden="1">
      <c r="D187" s="111"/>
      <c r="E187" s="111"/>
      <c r="F187" s="111"/>
      <c r="G187" s="94"/>
      <c r="H187" s="94"/>
      <c r="I187" s="94"/>
      <c r="J187" s="94"/>
    </row>
    <row r="188" spans="4:10" ht="15">
      <c r="D188" s="222"/>
      <c r="E188" s="213"/>
      <c r="F188" s="94"/>
      <c r="G188" s="94"/>
      <c r="H188" s="94"/>
      <c r="I188" s="94"/>
      <c r="J188" s="94"/>
    </row>
    <row r="189" spans="2:10" ht="15.75" thickBot="1">
      <c r="B189" s="104" t="s">
        <v>75</v>
      </c>
      <c r="D189" s="16">
        <f>SUM(D184:D188)</f>
        <v>5516918.199999999</v>
      </c>
      <c r="E189" s="16">
        <f>SUM(E184:E188)</f>
        <v>2292898.25</v>
      </c>
      <c r="F189" s="109">
        <f>SUM(F184:F186)</f>
        <v>1981591.3499999999</v>
      </c>
      <c r="G189" s="109">
        <f>SUM(G184:G188)</f>
        <v>5904892.88</v>
      </c>
      <c r="H189" s="16">
        <f>SUM(H184:H188)</f>
        <v>5676476.21</v>
      </c>
      <c r="I189" s="16">
        <f>SUM(I184:I188)</f>
        <v>5448059.54</v>
      </c>
      <c r="J189" s="16">
        <f>SUM(J184:J188)</f>
        <v>6687839.98</v>
      </c>
    </row>
    <row r="190" spans="4:10" ht="15.75" thickTop="1">
      <c r="D190" s="111"/>
      <c r="E190" s="111"/>
      <c r="F190" s="111"/>
      <c r="G190" s="111"/>
      <c r="H190" s="111"/>
      <c r="I190" s="94"/>
      <c r="J190" s="94"/>
    </row>
    <row r="191" spans="2:10" ht="15">
      <c r="B191" s="218"/>
      <c r="I191" s="94"/>
      <c r="J191" s="94"/>
    </row>
    <row r="192" spans="9:10" ht="15">
      <c r="I192" s="94"/>
      <c r="J192" s="94"/>
    </row>
    <row r="193" spans="2:10" ht="15">
      <c r="B193" s="104" t="s">
        <v>76</v>
      </c>
      <c r="I193" s="94"/>
      <c r="J193" s="94"/>
    </row>
    <row r="194" spans="9:10" ht="15">
      <c r="I194" s="94"/>
      <c r="J194" s="94"/>
    </row>
    <row r="195" spans="2:10" ht="15">
      <c r="B195" s="113" t="s">
        <v>77</v>
      </c>
      <c r="D195" s="111">
        <v>22854953.15</v>
      </c>
      <c r="E195" s="111">
        <v>25036905.79</v>
      </c>
      <c r="F195" s="111">
        <v>30081970.72</v>
      </c>
      <c r="G195" s="94">
        <v>29028810.35</v>
      </c>
      <c r="H195" s="94">
        <f>28477609.99+2588.25</f>
        <v>28480198.24</v>
      </c>
      <c r="I195" s="94">
        <v>27926409.63</v>
      </c>
      <c r="J195" s="94">
        <v>24588754.29</v>
      </c>
    </row>
    <row r="196" spans="2:10" ht="15">
      <c r="B196" s="113" t="s">
        <v>78</v>
      </c>
      <c r="D196" s="111">
        <f>700954.05</f>
        <v>700954.05</v>
      </c>
      <c r="E196" s="111">
        <v>700954.05</v>
      </c>
      <c r="F196" s="111">
        <v>700954.05</v>
      </c>
      <c r="G196" s="94">
        <v>700954.05</v>
      </c>
      <c r="H196" s="94">
        <v>700954.05</v>
      </c>
      <c r="I196" s="94">
        <v>700954.05</v>
      </c>
      <c r="J196" s="94">
        <v>700954.05</v>
      </c>
    </row>
    <row r="197" spans="2:10" ht="15">
      <c r="B197" s="113" t="s">
        <v>634</v>
      </c>
      <c r="D197" s="111"/>
      <c r="E197" s="111">
        <v>11240.04</v>
      </c>
      <c r="F197" s="111">
        <v>7690.68</v>
      </c>
      <c r="G197" s="94">
        <v>5176.5</v>
      </c>
      <c r="H197" s="94"/>
      <c r="I197" s="94"/>
      <c r="J197" s="94"/>
    </row>
    <row r="198" spans="2:10" ht="15">
      <c r="B198" s="113" t="s">
        <v>74</v>
      </c>
      <c r="D198" s="111">
        <v>861431.93</v>
      </c>
      <c r="E198" s="111">
        <v>928361.99</v>
      </c>
      <c r="F198" s="111">
        <v>928361.99</v>
      </c>
      <c r="G198" s="94">
        <v>920925.29</v>
      </c>
      <c r="H198" s="94">
        <v>906051.95</v>
      </c>
      <c r="I198" s="94">
        <v>891178.61</v>
      </c>
      <c r="J198" s="94"/>
    </row>
    <row r="199" spans="2:10" ht="15.75" thickBot="1">
      <c r="B199" s="104" t="s">
        <v>79</v>
      </c>
      <c r="D199" s="16">
        <f aca="true" t="shared" si="8" ref="D199:J199">SUM(D195:D198)</f>
        <v>24417339.13</v>
      </c>
      <c r="E199" s="16">
        <f>SUM(E195:E198)</f>
        <v>26677461.869999997</v>
      </c>
      <c r="F199" s="109">
        <f t="shared" si="8"/>
        <v>31718977.439999998</v>
      </c>
      <c r="G199" s="109">
        <f t="shared" si="8"/>
        <v>30655866.19</v>
      </c>
      <c r="H199" s="16">
        <f t="shared" si="8"/>
        <v>30087204.24</v>
      </c>
      <c r="I199" s="16">
        <f t="shared" si="8"/>
        <v>29518542.29</v>
      </c>
      <c r="J199" s="16">
        <f t="shared" si="8"/>
        <v>25289708.34</v>
      </c>
    </row>
    <row r="200" ht="16.5" thickBot="1" thickTop="1">
      <c r="I200" s="113"/>
    </row>
    <row r="201" spans="5:14" ht="15.75" thickBot="1">
      <c r="E201" s="243">
        <f>+E22+E37+E51+E67+E74+E80+E91+E104+E115+E126+E137+E143+E147+E156+E164+E178+E189+E199</f>
        <v>78445037.68</v>
      </c>
      <c r="F201" s="243">
        <f>+F22+F37+F51+F67+F74+F80+F91+F104+F115+F126+F137+F143+F147+F156+F164+F178+F189+F199</f>
        <v>76050011.35000001</v>
      </c>
      <c r="G201" s="244">
        <f>+G22+G37+G51+G67+G91+G104+G115+G126+G137+G156+G164+G178+G189+G199+G74+G80+G143</f>
        <v>133357950.22</v>
      </c>
      <c r="H201" s="114">
        <f>+H22+H37+H51+H67+H91+H104+H115+H126+H137+H156+H164+H178+H189+H199+H74+H80+H143</f>
        <v>127749647.59</v>
      </c>
      <c r="I201" s="114">
        <f>+I22+I37+I51+I67+I91+I104+I115+I126+I137+I156+I164+I178+I189+I199</f>
        <v>122215006.20000002</v>
      </c>
      <c r="N201" s="228"/>
    </row>
    <row r="202" spans="6:9" ht="15">
      <c r="F202" s="240">
        <f>+F201+'[2]Balanza de Comprobación 2020'!$I$258</f>
        <v>0</v>
      </c>
      <c r="G202" s="94"/>
      <c r="H202" s="94"/>
      <c r="I202" s="113"/>
    </row>
    <row r="203" spans="5:9" ht="15">
      <c r="E203" s="256">
        <f>+E201+'[3]Export2'!$I$207</f>
        <v>0</v>
      </c>
      <c r="I203" s="113"/>
    </row>
    <row r="204" spans="6:9" ht="15">
      <c r="F204" s="114"/>
      <c r="I204" s="113"/>
    </row>
    <row r="205" ht="15">
      <c r="I205" s="113"/>
    </row>
    <row r="206" ht="15">
      <c r="I206" s="113"/>
    </row>
    <row r="207" ht="15">
      <c r="I207" s="113"/>
    </row>
    <row r="208" ht="15">
      <c r="I208" s="113"/>
    </row>
    <row r="209" ht="15">
      <c r="I209" s="113"/>
    </row>
    <row r="210" ht="15">
      <c r="I210" s="113"/>
    </row>
    <row r="211" ht="15">
      <c r="I211" s="113"/>
    </row>
  </sheetData>
  <sheetProtection/>
  <mergeCells count="3">
    <mergeCell ref="B1:K1"/>
    <mergeCell ref="B2:K2"/>
    <mergeCell ref="B3:K3"/>
  </mergeCells>
  <hyperlinks>
    <hyperlink ref="A87" r:id="rId1" display="&amp;^%$#@*"/>
    <hyperlink ref="A90" r:id="rId2" display="&amp;^%$#@*"/>
    <hyperlink ref="B93" r:id="rId3" display="&amp;^%$#@*"/>
  </hyperlinks>
  <printOptions/>
  <pageMargins left="0.7086614173228347" right="0.7086614173228347" top="0.7480314960629921" bottom="0.7480314960629921" header="0.31496062992125984" footer="0.31496062992125984"/>
  <pageSetup horizontalDpi="600" verticalDpi="600" orientation="portrait" scale="78" r:id="rId5"/>
  <headerFooter>
    <oddFooter>&amp;C&amp;A&amp;RPágina &amp;P</oddFooter>
  </headerFooter>
  <rowBreaks count="4" manualBreakCount="4">
    <brk id="52" max="255" man="1"/>
    <brk id="105" max="255" man="1"/>
    <brk id="148" max="255" man="1"/>
    <brk id="201" max="255" man="1"/>
  </rowBreaks>
  <ignoredErrors>
    <ignoredError sqref="F22" formulaRange="1"/>
    <ignoredError sqref="F189" formula="1"/>
  </ignoredErrors>
  <drawing r:id="rId4"/>
</worksheet>
</file>

<file path=xl/worksheets/sheet8.xml><?xml version="1.0" encoding="utf-8"?>
<worksheet xmlns="http://schemas.openxmlformats.org/spreadsheetml/2006/main" xmlns:r="http://schemas.openxmlformats.org/officeDocument/2006/relationships">
  <dimension ref="A6:AG514"/>
  <sheetViews>
    <sheetView workbookViewId="0" topLeftCell="A314">
      <selection activeCell="H8" sqref="H8"/>
    </sheetView>
  </sheetViews>
  <sheetFormatPr defaultColWidth="11.421875" defaultRowHeight="15"/>
  <cols>
    <col min="1" max="1" width="7.140625" style="0" customWidth="1"/>
    <col min="3" max="3" width="42.7109375" style="0" customWidth="1"/>
    <col min="4" max="7" width="0" style="0" hidden="1" customWidth="1"/>
    <col min="8" max="8" width="27.140625" style="5" customWidth="1"/>
    <col min="9" max="9" width="27.140625" style="0" customWidth="1"/>
    <col min="10" max="10" width="22.8515625" style="0" hidden="1" customWidth="1"/>
    <col min="11" max="11" width="31.00390625" style="0" hidden="1" customWidth="1"/>
    <col min="12" max="12" width="21.7109375" style="0" hidden="1" customWidth="1"/>
    <col min="13" max="13" width="24.57421875" style="0" hidden="1" customWidth="1"/>
    <col min="14" max="14" width="17.421875" style="0" hidden="1" customWidth="1"/>
    <col min="15" max="15" width="22.57421875" style="0" hidden="1" customWidth="1"/>
    <col min="16" max="16" width="43.8515625" style="216" customWidth="1"/>
    <col min="17" max="17" width="0" style="216" hidden="1" customWidth="1"/>
    <col min="18" max="20" width="11.421875" style="216" customWidth="1"/>
  </cols>
  <sheetData>
    <row r="1" ht="15"/>
    <row r="2" ht="15"/>
    <row r="3" ht="15"/>
    <row r="4" ht="15"/>
    <row r="5" ht="15"/>
    <row r="6" spans="1:15" ht="19.5" customHeight="1">
      <c r="A6" s="46" t="s">
        <v>917</v>
      </c>
      <c r="B6" s="46"/>
      <c r="C6" s="46"/>
      <c r="D6" s="46"/>
      <c r="E6" s="46"/>
      <c r="F6" s="46"/>
      <c r="G6" s="46"/>
      <c r="H6" s="46"/>
      <c r="I6" s="46"/>
      <c r="J6" s="46"/>
      <c r="K6" s="46"/>
      <c r="L6" s="46"/>
      <c r="M6" s="46"/>
      <c r="N6" s="46"/>
      <c r="O6" s="46"/>
    </row>
    <row r="7" spans="2:11" ht="24" customHeight="1">
      <c r="B7" s="32"/>
      <c r="C7" s="32"/>
      <c r="D7" s="32"/>
      <c r="E7" s="32"/>
      <c r="F7" s="32"/>
      <c r="G7" s="32"/>
      <c r="H7" s="32"/>
      <c r="I7" s="32"/>
      <c r="J7" s="32"/>
      <c r="K7" s="32"/>
    </row>
    <row r="8" spans="2:11" ht="15">
      <c r="B8" s="32"/>
      <c r="C8" s="32"/>
      <c r="D8" s="32"/>
      <c r="E8" s="32"/>
      <c r="F8" s="32"/>
      <c r="G8" s="32"/>
      <c r="H8" s="32"/>
      <c r="I8" s="32"/>
      <c r="J8" s="32"/>
      <c r="K8" s="32"/>
    </row>
    <row r="9" spans="2:14" ht="18.75">
      <c r="B9" s="34" t="s">
        <v>602</v>
      </c>
      <c r="C9" s="32"/>
      <c r="D9" s="32"/>
      <c r="E9" s="32"/>
      <c r="F9" s="32"/>
      <c r="G9" s="32"/>
      <c r="H9" s="63" t="s">
        <v>505</v>
      </c>
      <c r="I9" s="63" t="s">
        <v>505</v>
      </c>
      <c r="J9" s="63" t="s">
        <v>505</v>
      </c>
      <c r="K9" s="500" t="s">
        <v>535</v>
      </c>
      <c r="L9" s="500"/>
      <c r="M9" s="498" t="s">
        <v>535</v>
      </c>
      <c r="N9" s="498"/>
    </row>
    <row r="10" spans="2:14" ht="18.75">
      <c r="B10" s="32"/>
      <c r="C10" s="32"/>
      <c r="D10" s="32"/>
      <c r="E10" s="32"/>
      <c r="F10" s="32"/>
      <c r="G10" s="32"/>
      <c r="H10" s="33">
        <v>2021</v>
      </c>
      <c r="I10" s="33">
        <v>2020</v>
      </c>
      <c r="J10" s="33">
        <v>2019</v>
      </c>
      <c r="K10" s="33">
        <v>2018</v>
      </c>
      <c r="L10" s="33" t="s">
        <v>505</v>
      </c>
      <c r="M10" s="33">
        <v>2017</v>
      </c>
      <c r="N10" s="62">
        <v>2016</v>
      </c>
    </row>
    <row r="11" spans="2:13" ht="18.75">
      <c r="B11" s="35" t="s">
        <v>280</v>
      </c>
      <c r="C11" s="32"/>
      <c r="D11" s="32"/>
      <c r="E11" s="32"/>
      <c r="F11" s="32"/>
      <c r="G11" s="32"/>
      <c r="H11" s="32"/>
      <c r="I11" s="32"/>
      <c r="J11" s="32"/>
      <c r="K11" s="32"/>
      <c r="L11" s="18"/>
      <c r="M11" s="18"/>
    </row>
    <row r="12" spans="2:17" ht="15">
      <c r="B12" s="32" t="s">
        <v>281</v>
      </c>
      <c r="C12" s="32"/>
      <c r="D12" s="32"/>
      <c r="E12" s="32"/>
      <c r="F12" s="32"/>
      <c r="G12" s="32"/>
      <c r="H12" s="83">
        <v>222515203.07</v>
      </c>
      <c r="I12" s="83">
        <v>194739423.71</v>
      </c>
      <c r="J12" s="83">
        <v>184215575.61</v>
      </c>
      <c r="K12" s="18">
        <v>158019298.17</v>
      </c>
      <c r="L12" s="18">
        <v>148832728.73</v>
      </c>
      <c r="M12" s="18">
        <v>154112913.6</v>
      </c>
      <c r="N12" s="18">
        <v>146698355.68</v>
      </c>
      <c r="O12" s="18"/>
      <c r="P12" s="387"/>
      <c r="Q12" s="315">
        <f>+P12/I12</f>
        <v>0</v>
      </c>
    </row>
    <row r="13" spans="2:17" ht="15">
      <c r="B13" s="32" t="s">
        <v>688</v>
      </c>
      <c r="C13" s="32"/>
      <c r="D13" s="32"/>
      <c r="E13" s="32"/>
      <c r="F13" s="32"/>
      <c r="G13" s="32"/>
      <c r="H13" s="83">
        <v>10187595.36</v>
      </c>
      <c r="I13" s="83">
        <v>3230853.18</v>
      </c>
      <c r="J13" s="83">
        <v>3043654.42</v>
      </c>
      <c r="K13" s="18">
        <v>10101414.94</v>
      </c>
      <c r="L13" s="18">
        <v>2170800.65</v>
      </c>
      <c r="M13" s="18">
        <v>2602374.8</v>
      </c>
      <c r="N13" s="18">
        <v>2221315</v>
      </c>
      <c r="O13" s="18"/>
      <c r="P13" s="387"/>
      <c r="Q13" s="315">
        <f aca="true" t="shared" si="0" ref="Q13:Q46">+P13/I13</f>
        <v>0</v>
      </c>
    </row>
    <row r="14" spans="2:17" ht="15" hidden="1">
      <c r="B14" s="32" t="s">
        <v>282</v>
      </c>
      <c r="C14" s="32"/>
      <c r="D14" s="32"/>
      <c r="E14" s="32"/>
      <c r="F14" s="32"/>
      <c r="G14" s="32"/>
      <c r="H14" s="32"/>
      <c r="I14" s="83"/>
      <c r="J14" s="83"/>
      <c r="K14" s="18"/>
      <c r="L14" s="18"/>
      <c r="M14" s="18"/>
      <c r="N14" s="18"/>
      <c r="O14" s="18"/>
      <c r="P14" s="387"/>
      <c r="Q14" s="315" t="e">
        <f t="shared" si="0"/>
        <v>#DIV/0!</v>
      </c>
    </row>
    <row r="15" spans="2:17" ht="15" hidden="1">
      <c r="B15" s="32" t="s">
        <v>283</v>
      </c>
      <c r="C15" s="32"/>
      <c r="D15" s="32"/>
      <c r="E15" s="32"/>
      <c r="F15" s="32"/>
      <c r="G15" s="32"/>
      <c r="H15" s="32"/>
      <c r="I15" s="83"/>
      <c r="J15" s="83">
        <v>5076580</v>
      </c>
      <c r="K15" s="18">
        <v>4453375</v>
      </c>
      <c r="L15" s="18">
        <v>2091775</v>
      </c>
      <c r="M15" s="18">
        <v>2583500</v>
      </c>
      <c r="N15" s="18">
        <v>3362360</v>
      </c>
      <c r="O15" s="18"/>
      <c r="P15" s="387"/>
      <c r="Q15" s="315" t="e">
        <f t="shared" si="0"/>
        <v>#DIV/0!</v>
      </c>
    </row>
    <row r="16" spans="2:17" ht="15">
      <c r="B16" s="32" t="s">
        <v>284</v>
      </c>
      <c r="C16" s="32"/>
      <c r="D16" s="32"/>
      <c r="E16" s="32"/>
      <c r="F16" s="32"/>
      <c r="G16" s="32"/>
      <c r="H16" s="83">
        <v>131430.75</v>
      </c>
      <c r="I16" s="83">
        <v>310831.67</v>
      </c>
      <c r="J16" s="83">
        <v>83689.74</v>
      </c>
      <c r="K16" s="18">
        <v>43420</v>
      </c>
      <c r="L16" s="18">
        <v>223947.86</v>
      </c>
      <c r="M16" s="18">
        <v>271423.28</v>
      </c>
      <c r="N16" s="18">
        <v>174204.8</v>
      </c>
      <c r="O16" s="18"/>
      <c r="P16" s="387"/>
      <c r="Q16" s="315">
        <f t="shared" si="0"/>
        <v>0</v>
      </c>
    </row>
    <row r="17" spans="2:17" ht="19.5" customHeight="1" hidden="1">
      <c r="B17" s="32" t="s">
        <v>285</v>
      </c>
      <c r="C17" s="32"/>
      <c r="D17" s="32"/>
      <c r="E17" s="32"/>
      <c r="F17" s="32"/>
      <c r="G17" s="32"/>
      <c r="H17" s="83"/>
      <c r="I17" s="83"/>
      <c r="J17" s="83"/>
      <c r="K17" s="18"/>
      <c r="L17" s="18"/>
      <c r="M17" s="18"/>
      <c r="N17" s="18"/>
      <c r="O17" s="18"/>
      <c r="P17" s="387"/>
      <c r="Q17" s="315" t="e">
        <f t="shared" si="0"/>
        <v>#DIV/0!</v>
      </c>
    </row>
    <row r="18" spans="2:17" ht="15" hidden="1">
      <c r="B18" s="32" t="s">
        <v>286</v>
      </c>
      <c r="C18" s="32"/>
      <c r="D18" s="32"/>
      <c r="E18" s="32"/>
      <c r="F18" s="32"/>
      <c r="G18" s="32"/>
      <c r="H18" s="83"/>
      <c r="I18" s="83"/>
      <c r="J18" s="83"/>
      <c r="K18" s="18"/>
      <c r="L18" s="18"/>
      <c r="M18" s="18"/>
      <c r="N18" s="18"/>
      <c r="O18" s="18"/>
      <c r="P18" s="387"/>
      <c r="Q18" s="315" t="e">
        <f t="shared" si="0"/>
        <v>#DIV/0!</v>
      </c>
    </row>
    <row r="19" spans="2:17" ht="15" hidden="1">
      <c r="B19" s="32" t="s">
        <v>287</v>
      </c>
      <c r="C19" s="32"/>
      <c r="D19" s="32"/>
      <c r="E19" s="32"/>
      <c r="F19" s="32"/>
      <c r="G19" s="32"/>
      <c r="H19" s="83"/>
      <c r="I19" s="83"/>
      <c r="J19" s="83"/>
      <c r="K19" s="18"/>
      <c r="L19" s="18"/>
      <c r="M19" s="18"/>
      <c r="N19" s="18"/>
      <c r="O19" s="18"/>
      <c r="P19" s="387"/>
      <c r="Q19" s="315" t="e">
        <f t="shared" si="0"/>
        <v>#DIV/0!</v>
      </c>
    </row>
    <row r="20" spans="2:17" ht="15">
      <c r="B20" s="32" t="s">
        <v>579</v>
      </c>
      <c r="C20" s="32"/>
      <c r="D20" s="32"/>
      <c r="E20" s="32"/>
      <c r="F20" s="32"/>
      <c r="G20" s="32"/>
      <c r="H20" s="83">
        <v>1108000</v>
      </c>
      <c r="I20" s="83">
        <v>1336576</v>
      </c>
      <c r="J20" s="83">
        <v>4406454.66</v>
      </c>
      <c r="K20" s="18">
        <v>200376</v>
      </c>
      <c r="L20" s="18"/>
      <c r="M20" s="18">
        <v>0</v>
      </c>
      <c r="N20" s="18"/>
      <c r="O20" s="18"/>
      <c r="P20" s="387"/>
      <c r="Q20" s="315">
        <f t="shared" si="0"/>
        <v>0</v>
      </c>
    </row>
    <row r="21" spans="2:17" ht="15">
      <c r="B21" s="32" t="s">
        <v>609</v>
      </c>
      <c r="C21" s="32"/>
      <c r="D21" s="32"/>
      <c r="E21" s="32"/>
      <c r="F21" s="32"/>
      <c r="G21" s="32"/>
      <c r="H21" s="83">
        <v>909283.8</v>
      </c>
      <c r="I21" s="83">
        <v>1698567.6</v>
      </c>
      <c r="J21" s="83">
        <v>1818567.6</v>
      </c>
      <c r="K21" s="18"/>
      <c r="L21" s="18"/>
      <c r="M21" s="18"/>
      <c r="N21" s="18"/>
      <c r="O21" s="18"/>
      <c r="P21" s="387"/>
      <c r="Q21" s="315">
        <f t="shared" si="0"/>
        <v>0</v>
      </c>
    </row>
    <row r="22" spans="2:33" s="5" customFormat="1" ht="15">
      <c r="B22" s="32" t="s">
        <v>689</v>
      </c>
      <c r="C22" s="32"/>
      <c r="D22" s="32"/>
      <c r="E22" s="32"/>
      <c r="F22" s="32"/>
      <c r="G22" s="32"/>
      <c r="H22" s="83">
        <v>1104250.97</v>
      </c>
      <c r="I22" s="83"/>
      <c r="J22" s="83"/>
      <c r="K22" s="18"/>
      <c r="L22" s="18"/>
      <c r="M22" s="18"/>
      <c r="N22" s="18"/>
      <c r="O22" s="18"/>
      <c r="P22" s="388"/>
      <c r="Q22" s="372" t="e">
        <f t="shared" si="0"/>
        <v>#DIV/0!</v>
      </c>
      <c r="R22" s="373"/>
      <c r="S22" s="373"/>
      <c r="T22" s="373"/>
      <c r="U22" s="369"/>
      <c r="V22" s="369"/>
      <c r="W22" s="369"/>
      <c r="X22" s="369"/>
      <c r="Y22" s="369"/>
      <c r="Z22" s="369"/>
      <c r="AA22" s="369"/>
      <c r="AB22" s="369"/>
      <c r="AC22" s="369"/>
      <c r="AD22" s="369"/>
      <c r="AE22" s="369"/>
      <c r="AF22" s="369"/>
      <c r="AG22" s="369"/>
    </row>
    <row r="23" spans="2:33" ht="15" hidden="1">
      <c r="B23" s="32" t="s">
        <v>514</v>
      </c>
      <c r="C23" s="32"/>
      <c r="D23" s="32"/>
      <c r="E23" s="32"/>
      <c r="F23" s="32"/>
      <c r="G23" s="32"/>
      <c r="H23" s="83"/>
      <c r="I23" s="83">
        <v>163059.29</v>
      </c>
      <c r="J23" s="83">
        <v>113224.97</v>
      </c>
      <c r="K23" s="18">
        <v>67134.75</v>
      </c>
      <c r="L23" s="18"/>
      <c r="M23" s="18">
        <v>48810.27</v>
      </c>
      <c r="N23" s="18">
        <v>71337.68</v>
      </c>
      <c r="O23" s="18"/>
      <c r="P23" s="388"/>
      <c r="Q23" s="372">
        <f t="shared" si="0"/>
        <v>0</v>
      </c>
      <c r="R23" s="373"/>
      <c r="S23" s="373"/>
      <c r="T23" s="373"/>
      <c r="U23" s="369"/>
      <c r="V23" s="369"/>
      <c r="W23" s="369"/>
      <c r="X23" s="369"/>
      <c r="Y23" s="369"/>
      <c r="Z23" s="369"/>
      <c r="AA23" s="369"/>
      <c r="AB23" s="369"/>
      <c r="AC23" s="369"/>
      <c r="AD23" s="369"/>
      <c r="AE23" s="369"/>
      <c r="AF23" s="369"/>
      <c r="AG23" s="369"/>
    </row>
    <row r="24" spans="2:33" ht="15">
      <c r="B24" s="32" t="s">
        <v>288</v>
      </c>
      <c r="C24" s="32"/>
      <c r="D24" s="32"/>
      <c r="E24" s="32"/>
      <c r="F24" s="32"/>
      <c r="G24" s="32"/>
      <c r="H24" s="83">
        <v>6512.53</v>
      </c>
      <c r="I24" s="83">
        <v>32245.15</v>
      </c>
      <c r="J24" s="83">
        <v>413649.52</v>
      </c>
      <c r="K24" s="18">
        <v>451309.96</v>
      </c>
      <c r="L24" s="18">
        <v>89062.98</v>
      </c>
      <c r="M24" s="18">
        <v>53551.61</v>
      </c>
      <c r="N24" s="18"/>
      <c r="O24" s="18"/>
      <c r="P24" s="388"/>
      <c r="Q24" s="372">
        <f t="shared" si="0"/>
        <v>0</v>
      </c>
      <c r="R24" s="373"/>
      <c r="S24" s="373"/>
      <c r="T24" s="373"/>
      <c r="U24" s="369"/>
      <c r="V24" s="369"/>
      <c r="W24" s="369"/>
      <c r="X24" s="369"/>
      <c r="Y24" s="369"/>
      <c r="Z24" s="369"/>
      <c r="AA24" s="369"/>
      <c r="AB24" s="369"/>
      <c r="AC24" s="369"/>
      <c r="AD24" s="369"/>
      <c r="AE24" s="369"/>
      <c r="AF24" s="369"/>
      <c r="AG24" s="369"/>
    </row>
    <row r="25" spans="1:33" s="366" customFormat="1" ht="15">
      <c r="A25" s="369"/>
      <c r="B25" s="368" t="s">
        <v>289</v>
      </c>
      <c r="C25" s="368"/>
      <c r="D25" s="368"/>
      <c r="E25" s="368"/>
      <c r="F25" s="368"/>
      <c r="G25" s="368"/>
      <c r="H25" s="370">
        <v>342000</v>
      </c>
      <c r="I25" s="370">
        <v>445500</v>
      </c>
      <c r="J25" s="370">
        <v>234000</v>
      </c>
      <c r="K25" s="371"/>
      <c r="L25" s="371"/>
      <c r="M25" s="371"/>
      <c r="N25" s="371"/>
      <c r="O25" s="371"/>
      <c r="P25" s="388"/>
      <c r="Q25" s="372">
        <f t="shared" si="0"/>
        <v>0</v>
      </c>
      <c r="R25" s="373"/>
      <c r="S25" s="373"/>
      <c r="T25" s="373"/>
      <c r="U25" s="369"/>
      <c r="V25" s="369"/>
      <c r="W25" s="369"/>
      <c r="X25" s="369"/>
      <c r="Y25" s="369"/>
      <c r="Z25" s="369"/>
      <c r="AA25" s="369"/>
      <c r="AB25" s="369"/>
      <c r="AC25" s="369"/>
      <c r="AD25" s="369"/>
      <c r="AE25" s="369"/>
      <c r="AF25" s="369"/>
      <c r="AG25" s="369"/>
    </row>
    <row r="26" spans="1:33" ht="15" hidden="1">
      <c r="A26" s="369"/>
      <c r="B26" s="368" t="s">
        <v>290</v>
      </c>
      <c r="C26" s="368"/>
      <c r="D26" s="368"/>
      <c r="E26" s="368"/>
      <c r="F26" s="368"/>
      <c r="G26" s="368"/>
      <c r="H26" s="370"/>
      <c r="I26" s="370"/>
      <c r="J26" s="370"/>
      <c r="K26" s="371"/>
      <c r="L26" s="371"/>
      <c r="M26" s="371"/>
      <c r="N26" s="371"/>
      <c r="O26" s="371"/>
      <c r="P26" s="388"/>
      <c r="Q26" s="372" t="e">
        <f t="shared" si="0"/>
        <v>#DIV/0!</v>
      </c>
      <c r="R26" s="373"/>
      <c r="S26" s="373"/>
      <c r="T26" s="373"/>
      <c r="U26" s="369"/>
      <c r="V26" s="369"/>
      <c r="W26" s="369"/>
      <c r="X26" s="369"/>
      <c r="Y26" s="369"/>
      <c r="Z26" s="369"/>
      <c r="AA26" s="369"/>
      <c r="AB26" s="369"/>
      <c r="AC26" s="369"/>
      <c r="AD26" s="369"/>
      <c r="AE26" s="369"/>
      <c r="AF26" s="369"/>
      <c r="AG26" s="369"/>
    </row>
    <row r="27" spans="1:33" s="366" customFormat="1" ht="15">
      <c r="A27" s="369"/>
      <c r="B27" s="368" t="s">
        <v>291</v>
      </c>
      <c r="C27" s="368"/>
      <c r="D27" s="368"/>
      <c r="E27" s="368"/>
      <c r="F27" s="368"/>
      <c r="G27" s="368"/>
      <c r="H27" s="370">
        <v>9164065.48</v>
      </c>
      <c r="I27" s="370">
        <v>7530400.66</v>
      </c>
      <c r="J27" s="370">
        <v>6882362.8</v>
      </c>
      <c r="K27" s="371">
        <v>6910110</v>
      </c>
      <c r="L27" s="371">
        <v>6466740</v>
      </c>
      <c r="M27" s="371">
        <v>7340930</v>
      </c>
      <c r="N27" s="371">
        <v>6918580</v>
      </c>
      <c r="O27" s="371"/>
      <c r="P27" s="388"/>
      <c r="Q27" s="372">
        <f t="shared" si="0"/>
        <v>0</v>
      </c>
      <c r="R27" s="373"/>
      <c r="S27" s="373"/>
      <c r="T27" s="373"/>
      <c r="U27" s="369"/>
      <c r="V27" s="369"/>
      <c r="W27" s="369"/>
      <c r="X27" s="369"/>
      <c r="Y27" s="369"/>
      <c r="Z27" s="369"/>
      <c r="AA27" s="369"/>
      <c r="AB27" s="369"/>
      <c r="AC27" s="369"/>
      <c r="AD27" s="369"/>
      <c r="AE27" s="369"/>
      <c r="AF27" s="369"/>
      <c r="AG27" s="369"/>
    </row>
    <row r="28" spans="2:33" ht="15" hidden="1">
      <c r="B28" s="32" t="s">
        <v>292</v>
      </c>
      <c r="C28" s="32"/>
      <c r="D28" s="32"/>
      <c r="E28" s="32"/>
      <c r="F28" s="32"/>
      <c r="G28" s="32"/>
      <c r="H28" s="83"/>
      <c r="I28" s="83"/>
      <c r="J28" s="83">
        <v>178619.75</v>
      </c>
      <c r="K28" s="18">
        <v>9698457.32</v>
      </c>
      <c r="L28" s="18">
        <v>3164930.3</v>
      </c>
      <c r="M28" s="18">
        <v>3814756.54</v>
      </c>
      <c r="N28" s="18">
        <v>3541289.3</v>
      </c>
      <c r="O28" s="18"/>
      <c r="P28" s="388"/>
      <c r="Q28" s="372" t="e">
        <f t="shared" si="0"/>
        <v>#DIV/0!</v>
      </c>
      <c r="R28" s="373"/>
      <c r="S28" s="373"/>
      <c r="T28" s="373"/>
      <c r="U28" s="369"/>
      <c r="V28" s="369"/>
      <c r="W28" s="369"/>
      <c r="X28" s="369"/>
      <c r="Y28" s="369"/>
      <c r="Z28" s="369"/>
      <c r="AA28" s="369"/>
      <c r="AB28" s="369"/>
      <c r="AC28" s="369"/>
      <c r="AD28" s="369"/>
      <c r="AE28" s="369"/>
      <c r="AF28" s="369"/>
      <c r="AG28" s="369"/>
    </row>
    <row r="29" spans="2:33" ht="15">
      <c r="B29" s="32" t="s">
        <v>658</v>
      </c>
      <c r="C29" s="32"/>
      <c r="D29" s="32"/>
      <c r="E29" s="32"/>
      <c r="F29" s="32"/>
      <c r="G29" s="32"/>
      <c r="H29" s="83">
        <v>33821745.12</v>
      </c>
      <c r="I29" s="83">
        <v>15795341.83</v>
      </c>
      <c r="J29" s="83">
        <v>28767122.48</v>
      </c>
      <c r="K29" s="18"/>
      <c r="L29" s="18"/>
      <c r="M29" s="18"/>
      <c r="N29" s="18"/>
      <c r="O29" s="18"/>
      <c r="P29" s="388"/>
      <c r="Q29" s="372">
        <f t="shared" si="0"/>
        <v>0</v>
      </c>
      <c r="R29" s="373"/>
      <c r="S29" s="373"/>
      <c r="T29" s="373"/>
      <c r="U29" s="369"/>
      <c r="V29" s="369"/>
      <c r="W29" s="369"/>
      <c r="X29" s="369"/>
      <c r="Y29" s="369"/>
      <c r="Z29" s="369"/>
      <c r="AA29" s="369"/>
      <c r="AB29" s="369"/>
      <c r="AC29" s="369"/>
      <c r="AD29" s="369"/>
      <c r="AE29" s="369"/>
      <c r="AF29" s="369"/>
      <c r="AG29" s="369"/>
    </row>
    <row r="30" spans="2:33" ht="15" hidden="1">
      <c r="B30" s="32" t="s">
        <v>515</v>
      </c>
      <c r="C30" s="32"/>
      <c r="D30" s="32"/>
      <c r="E30" s="32"/>
      <c r="F30" s="32"/>
      <c r="G30" s="32"/>
      <c r="H30" s="83"/>
      <c r="I30" s="83"/>
      <c r="J30" s="83">
        <v>3000</v>
      </c>
      <c r="K30" s="18"/>
      <c r="L30" s="18">
        <v>8356480.82</v>
      </c>
      <c r="M30" s="18">
        <v>3855872.59</v>
      </c>
      <c r="N30" s="18">
        <v>6905516.08</v>
      </c>
      <c r="O30" s="18"/>
      <c r="P30" s="388"/>
      <c r="Q30" s="372" t="e">
        <f t="shared" si="0"/>
        <v>#DIV/0!</v>
      </c>
      <c r="R30" s="373"/>
      <c r="S30" s="373"/>
      <c r="T30" s="373"/>
      <c r="U30" s="369"/>
      <c r="V30" s="369"/>
      <c r="W30" s="369"/>
      <c r="X30" s="369"/>
      <c r="Y30" s="369"/>
      <c r="Z30" s="369"/>
      <c r="AA30" s="369"/>
      <c r="AB30" s="369"/>
      <c r="AC30" s="369"/>
      <c r="AD30" s="369"/>
      <c r="AE30" s="369"/>
      <c r="AF30" s="369"/>
      <c r="AG30" s="369"/>
    </row>
    <row r="31" spans="2:33" ht="15" hidden="1">
      <c r="B31" s="32" t="s">
        <v>293</v>
      </c>
      <c r="C31" s="32"/>
      <c r="D31" s="32"/>
      <c r="E31" s="32"/>
      <c r="F31" s="32"/>
      <c r="G31" s="32"/>
      <c r="H31" s="83"/>
      <c r="I31" s="83"/>
      <c r="J31" s="83"/>
      <c r="K31" s="18"/>
      <c r="L31" s="18"/>
      <c r="M31" s="18"/>
      <c r="N31" s="18">
        <v>1500</v>
      </c>
      <c r="O31" s="18"/>
      <c r="P31" s="388"/>
      <c r="Q31" s="372" t="e">
        <f t="shared" si="0"/>
        <v>#DIV/0!</v>
      </c>
      <c r="R31" s="373"/>
      <c r="S31" s="373"/>
      <c r="T31" s="373"/>
      <c r="U31" s="369"/>
      <c r="V31" s="369"/>
      <c r="W31" s="369"/>
      <c r="X31" s="369"/>
      <c r="Y31" s="369"/>
      <c r="Z31" s="369"/>
      <c r="AA31" s="369"/>
      <c r="AB31" s="369"/>
      <c r="AC31" s="369"/>
      <c r="AD31" s="369"/>
      <c r="AE31" s="369"/>
      <c r="AF31" s="369"/>
      <c r="AG31" s="369"/>
    </row>
    <row r="32" spans="2:33" ht="15" hidden="1">
      <c r="B32" s="32" t="s">
        <v>294</v>
      </c>
      <c r="C32" s="32"/>
      <c r="D32" s="32"/>
      <c r="E32" s="32"/>
      <c r="F32" s="32"/>
      <c r="G32" s="32"/>
      <c r="H32" s="83"/>
      <c r="I32" s="83"/>
      <c r="J32" s="83"/>
      <c r="K32" s="18"/>
      <c r="L32" s="18"/>
      <c r="M32" s="18"/>
      <c r="N32" s="18"/>
      <c r="O32" s="18"/>
      <c r="P32" s="388"/>
      <c r="Q32" s="372" t="e">
        <f t="shared" si="0"/>
        <v>#DIV/0!</v>
      </c>
      <c r="R32" s="373"/>
      <c r="S32" s="373"/>
      <c r="T32" s="373"/>
      <c r="U32" s="369"/>
      <c r="V32" s="369"/>
      <c r="W32" s="369"/>
      <c r="X32" s="369"/>
      <c r="Y32" s="369"/>
      <c r="Z32" s="369"/>
      <c r="AA32" s="369"/>
      <c r="AB32" s="369"/>
      <c r="AC32" s="369"/>
      <c r="AD32" s="369"/>
      <c r="AE32" s="369"/>
      <c r="AF32" s="369"/>
      <c r="AG32" s="369"/>
    </row>
    <row r="33" spans="2:33" ht="15" hidden="1">
      <c r="B33" s="32" t="s">
        <v>295</v>
      </c>
      <c r="C33" s="32"/>
      <c r="D33" s="32"/>
      <c r="E33" s="32"/>
      <c r="F33" s="32"/>
      <c r="G33" s="32"/>
      <c r="H33" s="83"/>
      <c r="I33" s="83"/>
      <c r="J33" s="83"/>
      <c r="K33" s="18"/>
      <c r="L33" s="18"/>
      <c r="M33" s="18"/>
      <c r="N33" s="18"/>
      <c r="O33" s="18"/>
      <c r="P33" s="388"/>
      <c r="Q33" s="372" t="e">
        <f t="shared" si="0"/>
        <v>#DIV/0!</v>
      </c>
      <c r="R33" s="373"/>
      <c r="S33" s="373"/>
      <c r="T33" s="373"/>
      <c r="U33" s="369"/>
      <c r="V33" s="369"/>
      <c r="W33" s="369"/>
      <c r="X33" s="369"/>
      <c r="Y33" s="369"/>
      <c r="Z33" s="369"/>
      <c r="AA33" s="369"/>
      <c r="AB33" s="369"/>
      <c r="AC33" s="369"/>
      <c r="AD33" s="369"/>
      <c r="AE33" s="369"/>
      <c r="AF33" s="369"/>
      <c r="AG33" s="369"/>
    </row>
    <row r="34" spans="2:33" ht="15" hidden="1">
      <c r="B34" s="32"/>
      <c r="C34" s="32"/>
      <c r="D34" s="32"/>
      <c r="E34" s="32"/>
      <c r="F34" s="32"/>
      <c r="G34" s="32"/>
      <c r="H34" s="83"/>
      <c r="I34" s="83"/>
      <c r="J34" s="83"/>
      <c r="K34" s="18"/>
      <c r="L34" s="18"/>
      <c r="M34" s="18"/>
      <c r="N34" s="18"/>
      <c r="O34" s="18"/>
      <c r="P34" s="388"/>
      <c r="Q34" s="372" t="e">
        <f t="shared" si="0"/>
        <v>#DIV/0!</v>
      </c>
      <c r="R34" s="373"/>
      <c r="S34" s="373"/>
      <c r="T34" s="373"/>
      <c r="U34" s="369"/>
      <c r="V34" s="369"/>
      <c r="W34" s="369"/>
      <c r="X34" s="369"/>
      <c r="Y34" s="369"/>
      <c r="Z34" s="369"/>
      <c r="AA34" s="369"/>
      <c r="AB34" s="369"/>
      <c r="AC34" s="369"/>
      <c r="AD34" s="369"/>
      <c r="AE34" s="369"/>
      <c r="AF34" s="369"/>
      <c r="AG34" s="369"/>
    </row>
    <row r="35" spans="1:33" ht="15">
      <c r="A35" s="369"/>
      <c r="B35" s="32" t="s">
        <v>296</v>
      </c>
      <c r="C35" s="32"/>
      <c r="D35" s="32"/>
      <c r="E35" s="32"/>
      <c r="F35" s="32"/>
      <c r="G35" s="32"/>
      <c r="H35" s="83">
        <v>20354710.56</v>
      </c>
      <c r="I35" s="83">
        <v>17248294.08</v>
      </c>
      <c r="J35" s="83">
        <v>17219823.96</v>
      </c>
      <c r="K35" s="18">
        <v>14603672.19</v>
      </c>
      <c r="L35" s="18">
        <v>13251406.64</v>
      </c>
      <c r="M35" s="18">
        <v>13778324.79</v>
      </c>
      <c r="N35" s="18">
        <v>13171012.76</v>
      </c>
      <c r="O35" s="18"/>
      <c r="P35" s="388"/>
      <c r="Q35" s="372">
        <f t="shared" si="0"/>
        <v>0</v>
      </c>
      <c r="R35" s="373"/>
      <c r="S35" s="373"/>
      <c r="T35" s="373"/>
      <c r="U35" s="369"/>
      <c r="V35" s="369"/>
      <c r="W35" s="369"/>
      <c r="X35" s="369"/>
      <c r="Y35" s="369"/>
      <c r="Z35" s="369"/>
      <c r="AA35" s="369"/>
      <c r="AB35" s="369"/>
      <c r="AC35" s="369"/>
      <c r="AD35" s="369"/>
      <c r="AE35" s="369"/>
      <c r="AF35" s="369"/>
      <c r="AG35" s="369"/>
    </row>
    <row r="36" spans="1:33" ht="15">
      <c r="A36" s="373"/>
      <c r="B36" s="374" t="s">
        <v>297</v>
      </c>
      <c r="C36" s="374"/>
      <c r="D36" s="374"/>
      <c r="E36" s="374"/>
      <c r="F36" s="374"/>
      <c r="G36" s="374"/>
      <c r="H36" s="375">
        <v>5181582.2</v>
      </c>
      <c r="I36" s="375">
        <v>4356163.01</v>
      </c>
      <c r="J36" s="375"/>
      <c r="K36" s="376">
        <v>16782321.44</v>
      </c>
      <c r="L36" s="376">
        <v>16201374.8</v>
      </c>
      <c r="M36" s="376">
        <v>16297493.81</v>
      </c>
      <c r="N36" s="376">
        <v>16383665.86</v>
      </c>
      <c r="O36" s="376"/>
      <c r="P36" s="388"/>
      <c r="Q36" s="372">
        <f t="shared" si="0"/>
        <v>0</v>
      </c>
      <c r="R36" s="373"/>
      <c r="S36" s="373"/>
      <c r="T36" s="373"/>
      <c r="U36" s="369"/>
      <c r="V36" s="369"/>
      <c r="W36" s="369"/>
      <c r="X36" s="369"/>
      <c r="Y36" s="369"/>
      <c r="Z36" s="369"/>
      <c r="AA36" s="369"/>
      <c r="AB36" s="369"/>
      <c r="AC36" s="369"/>
      <c r="AD36" s="369"/>
      <c r="AE36" s="369"/>
      <c r="AF36" s="369"/>
      <c r="AG36" s="369"/>
    </row>
    <row r="37" spans="1:33" s="366" customFormat="1" ht="15">
      <c r="A37" s="373"/>
      <c r="B37" s="374" t="s">
        <v>298</v>
      </c>
      <c r="C37" s="374"/>
      <c r="D37" s="374"/>
      <c r="E37" s="374"/>
      <c r="F37" s="374"/>
      <c r="G37" s="374"/>
      <c r="H37" s="375">
        <v>5434895.52</v>
      </c>
      <c r="I37" s="375">
        <v>862212.5</v>
      </c>
      <c r="J37" s="375">
        <v>646649.07</v>
      </c>
      <c r="K37" s="376">
        <v>532259.79</v>
      </c>
      <c r="L37" s="376">
        <v>4097788.3</v>
      </c>
      <c r="M37" s="376">
        <v>511315.14</v>
      </c>
      <c r="N37" s="376">
        <v>1776856</v>
      </c>
      <c r="O37" s="376"/>
      <c r="P37" s="388"/>
      <c r="Q37" s="372">
        <f t="shared" si="0"/>
        <v>0</v>
      </c>
      <c r="R37" s="373"/>
      <c r="S37" s="373"/>
      <c r="T37" s="373"/>
      <c r="U37" s="369"/>
      <c r="V37" s="369"/>
      <c r="W37" s="369"/>
      <c r="X37" s="369"/>
      <c r="Y37" s="369"/>
      <c r="Z37" s="369"/>
      <c r="AA37" s="369"/>
      <c r="AB37" s="369"/>
      <c r="AC37" s="369"/>
      <c r="AD37" s="369"/>
      <c r="AE37" s="369"/>
      <c r="AF37" s="369"/>
      <c r="AG37" s="369"/>
    </row>
    <row r="38" spans="1:17" ht="15">
      <c r="A38" s="369"/>
      <c r="B38" s="32" t="s">
        <v>299</v>
      </c>
      <c r="C38" s="32"/>
      <c r="D38" s="32"/>
      <c r="E38" s="32"/>
      <c r="F38" s="32"/>
      <c r="G38" s="32"/>
      <c r="H38" s="83" t="s">
        <v>898</v>
      </c>
      <c r="I38" s="83">
        <v>2343669.54</v>
      </c>
      <c r="J38" s="83">
        <v>1456921.69</v>
      </c>
      <c r="K38" s="18">
        <v>284489.73</v>
      </c>
      <c r="L38" s="18">
        <v>2188550.27</v>
      </c>
      <c r="M38" s="18">
        <v>903485.87</v>
      </c>
      <c r="N38" s="18">
        <v>1233222.88</v>
      </c>
      <c r="O38" s="18"/>
      <c r="P38" s="387"/>
      <c r="Q38" s="315">
        <f t="shared" si="0"/>
        <v>0</v>
      </c>
    </row>
    <row r="39" spans="1:20" s="366" customFormat="1" ht="15">
      <c r="A39" s="369"/>
      <c r="B39" s="368" t="s">
        <v>610</v>
      </c>
      <c r="C39" s="368"/>
      <c r="D39" s="368"/>
      <c r="E39" s="368"/>
      <c r="F39" s="368"/>
      <c r="G39" s="368"/>
      <c r="H39" s="370">
        <v>16402103.85</v>
      </c>
      <c r="I39" s="370">
        <v>13918530.5</v>
      </c>
      <c r="J39" s="370">
        <v>13689730.8</v>
      </c>
      <c r="K39" s="371">
        <v>11997538.55</v>
      </c>
      <c r="L39" s="371">
        <v>10516192.83</v>
      </c>
      <c r="M39" s="371">
        <v>11026960.22</v>
      </c>
      <c r="N39" s="371">
        <v>10561008.28</v>
      </c>
      <c r="O39" s="371"/>
      <c r="P39" s="388"/>
      <c r="Q39" s="372">
        <f t="shared" si="0"/>
        <v>0</v>
      </c>
      <c r="R39" s="373"/>
      <c r="S39" s="373"/>
      <c r="T39" s="373"/>
    </row>
    <row r="40" spans="1:20" s="366" customFormat="1" ht="15">
      <c r="A40" s="369"/>
      <c r="B40" s="368" t="s">
        <v>300</v>
      </c>
      <c r="C40" s="368"/>
      <c r="D40" s="368"/>
      <c r="E40" s="368"/>
      <c r="F40" s="368"/>
      <c r="G40" s="368"/>
      <c r="H40" s="370">
        <v>16596147.46</v>
      </c>
      <c r="I40" s="370">
        <v>14120732.26</v>
      </c>
      <c r="J40" s="370">
        <v>13888551.14</v>
      </c>
      <c r="K40" s="371">
        <v>12139580.17</v>
      </c>
      <c r="L40" s="371">
        <v>10749589.99</v>
      </c>
      <c r="M40" s="371">
        <v>11219091.99</v>
      </c>
      <c r="N40" s="371">
        <v>9848125.92</v>
      </c>
      <c r="O40" s="371"/>
      <c r="P40" s="388"/>
      <c r="Q40" s="372">
        <f t="shared" si="0"/>
        <v>0</v>
      </c>
      <c r="R40" s="373"/>
      <c r="S40" s="373"/>
      <c r="T40" s="373"/>
    </row>
    <row r="41" spans="1:20" s="367" customFormat="1" ht="15">
      <c r="A41" s="383"/>
      <c r="B41" s="384" t="s">
        <v>301</v>
      </c>
      <c r="C41" s="384"/>
      <c r="D41" s="384"/>
      <c r="E41" s="384"/>
      <c r="F41" s="384"/>
      <c r="G41" s="384"/>
      <c r="H41" s="370">
        <v>2256690.61</v>
      </c>
      <c r="I41" s="370">
        <v>1915257.98</v>
      </c>
      <c r="J41" s="385">
        <v>1887881.79</v>
      </c>
      <c r="K41" s="383">
        <v>1642635.04</v>
      </c>
      <c r="L41" s="383">
        <v>1359509.37</v>
      </c>
      <c r="M41" s="383">
        <v>1472694.38</v>
      </c>
      <c r="N41" s="383">
        <v>2247767.84</v>
      </c>
      <c r="O41" s="383"/>
      <c r="P41" s="388"/>
      <c r="Q41" s="372">
        <f t="shared" si="0"/>
        <v>0</v>
      </c>
      <c r="R41" s="386"/>
      <c r="S41" s="386"/>
      <c r="T41" s="386"/>
    </row>
    <row r="42" spans="2:17" ht="15" hidden="1">
      <c r="B42" s="32" t="s">
        <v>302</v>
      </c>
      <c r="C42" s="32"/>
      <c r="D42" s="32"/>
      <c r="E42" s="32"/>
      <c r="F42" s="32"/>
      <c r="G42" s="32"/>
      <c r="H42" s="32"/>
      <c r="I42" s="83"/>
      <c r="J42" s="83"/>
      <c r="K42" s="18"/>
      <c r="L42" s="18">
        <v>60000</v>
      </c>
      <c r="M42" s="18"/>
      <c r="N42" s="18">
        <v>18000</v>
      </c>
      <c r="P42" s="387"/>
      <c r="Q42" s="315" t="e">
        <f t="shared" si="0"/>
        <v>#DIV/0!</v>
      </c>
    </row>
    <row r="43" spans="2:17" ht="15" hidden="1">
      <c r="B43" s="32" t="s">
        <v>303</v>
      </c>
      <c r="C43" s="32"/>
      <c r="D43" s="32"/>
      <c r="E43" s="32"/>
      <c r="F43" s="32"/>
      <c r="G43" s="32"/>
      <c r="H43" s="32"/>
      <c r="I43" s="83"/>
      <c r="J43" s="83"/>
      <c r="K43" s="18"/>
      <c r="L43" s="18"/>
      <c r="M43" s="18"/>
      <c r="N43" s="18"/>
      <c r="P43" s="387"/>
      <c r="Q43" s="315" t="e">
        <f t="shared" si="0"/>
        <v>#DIV/0!</v>
      </c>
    </row>
    <row r="44" spans="2:17" ht="15" hidden="1">
      <c r="B44" s="32" t="s">
        <v>304</v>
      </c>
      <c r="C44" s="32"/>
      <c r="D44" s="32"/>
      <c r="E44" s="32"/>
      <c r="F44" s="32"/>
      <c r="G44" s="32"/>
      <c r="H44" s="32"/>
      <c r="I44" s="18"/>
      <c r="J44" s="18"/>
      <c r="K44" s="18"/>
      <c r="L44" s="18">
        <v>18</v>
      </c>
      <c r="M44" s="36">
        <v>4800</v>
      </c>
      <c r="N44" s="36">
        <v>650</v>
      </c>
      <c r="P44" s="387"/>
      <c r="Q44" s="315" t="e">
        <f t="shared" si="0"/>
        <v>#DIV/0!</v>
      </c>
    </row>
    <row r="45" spans="2:17" ht="15">
      <c r="B45" s="32" t="s">
        <v>303</v>
      </c>
      <c r="C45" s="32"/>
      <c r="D45" s="32"/>
      <c r="E45" s="32"/>
      <c r="F45" s="32"/>
      <c r="G45" s="32"/>
      <c r="H45" s="83">
        <v>50000</v>
      </c>
      <c r="I45" s="36"/>
      <c r="J45" s="36"/>
      <c r="K45" s="36"/>
      <c r="L45" s="36"/>
      <c r="M45" s="14"/>
      <c r="P45" s="387"/>
      <c r="Q45" s="315" t="e">
        <f t="shared" si="0"/>
        <v>#DIV/0!</v>
      </c>
    </row>
    <row r="46" spans="2:17" ht="16.5" thickBot="1">
      <c r="B46" s="34" t="s">
        <v>305</v>
      </c>
      <c r="C46" s="34"/>
      <c r="D46" s="34"/>
      <c r="E46" s="34"/>
      <c r="F46" s="34"/>
      <c r="G46" s="34"/>
      <c r="H46" s="86">
        <f>SUM(H12:H45)</f>
        <v>345566217.28</v>
      </c>
      <c r="I46" s="86">
        <f>SUM(I12:I44)</f>
        <v>280047658.96000004</v>
      </c>
      <c r="J46" s="86">
        <f>SUM(J12:J44)</f>
        <v>284026060.00000006</v>
      </c>
      <c r="K46" s="86">
        <f>SUM(K12:K44)</f>
        <v>247927393.04999995</v>
      </c>
      <c r="L46" s="50">
        <f>SUM(L12:L45)</f>
        <v>229820896.54000008</v>
      </c>
      <c r="M46" s="50">
        <f>SUM(M12:M44)</f>
        <v>229898298.89000002</v>
      </c>
      <c r="N46" s="44">
        <f>SUM(N12:N44)</f>
        <v>225134768.08</v>
      </c>
      <c r="O46" s="18"/>
      <c r="P46" s="387"/>
      <c r="Q46" s="315">
        <f t="shared" si="0"/>
        <v>0</v>
      </c>
    </row>
    <row r="47" spans="2:17" ht="15.75" thickTop="1">
      <c r="B47" s="32"/>
      <c r="C47" s="32"/>
      <c r="D47" s="32"/>
      <c r="E47" s="32"/>
      <c r="F47" s="32"/>
      <c r="G47" s="32"/>
      <c r="H47" s="32"/>
      <c r="I47" s="32"/>
      <c r="J47" s="32"/>
      <c r="K47" s="32"/>
      <c r="L47" s="18"/>
      <c r="M47" s="18"/>
      <c r="P47" s="387"/>
      <c r="Q47" s="315"/>
    </row>
    <row r="48" spans="2:17" ht="15.75">
      <c r="B48" s="34" t="s">
        <v>606</v>
      </c>
      <c r="C48" s="32"/>
      <c r="D48" s="32"/>
      <c r="E48" s="32"/>
      <c r="F48" s="32"/>
      <c r="G48" s="32"/>
      <c r="H48" s="32"/>
      <c r="I48" s="32"/>
      <c r="J48" s="32"/>
      <c r="K48" s="32"/>
      <c r="L48" s="18"/>
      <c r="M48" s="18"/>
      <c r="P48" s="387"/>
      <c r="Q48" s="315"/>
    </row>
    <row r="49" spans="2:17" ht="18.75">
      <c r="B49" s="32"/>
      <c r="C49" s="32"/>
      <c r="D49" s="32"/>
      <c r="E49" s="32"/>
      <c r="F49" s="32"/>
      <c r="G49" s="32"/>
      <c r="H49" s="63" t="s">
        <v>505</v>
      </c>
      <c r="I49" s="63" t="s">
        <v>505</v>
      </c>
      <c r="J49" s="63" t="s">
        <v>505</v>
      </c>
      <c r="K49" s="500" t="s">
        <v>535</v>
      </c>
      <c r="L49" s="500"/>
      <c r="M49" s="498" t="s">
        <v>535</v>
      </c>
      <c r="N49" s="498"/>
      <c r="P49" s="387"/>
      <c r="Q49" s="315"/>
    </row>
    <row r="50" spans="2:17" ht="18.75">
      <c r="B50" s="32"/>
      <c r="C50" s="32"/>
      <c r="D50" s="32"/>
      <c r="E50" s="32"/>
      <c r="F50" s="32"/>
      <c r="G50" s="32"/>
      <c r="H50" s="33">
        <v>2021</v>
      </c>
      <c r="I50" s="33">
        <v>2020</v>
      </c>
      <c r="J50" s="33">
        <v>2019</v>
      </c>
      <c r="K50" s="33">
        <v>2018</v>
      </c>
      <c r="L50" s="33"/>
      <c r="M50" s="33">
        <v>2017</v>
      </c>
      <c r="N50" s="62">
        <v>2016</v>
      </c>
      <c r="P50" s="387"/>
      <c r="Q50" s="315"/>
    </row>
    <row r="51" spans="2:17" ht="18.75">
      <c r="B51" s="35" t="s">
        <v>306</v>
      </c>
      <c r="C51" s="32"/>
      <c r="D51" s="32"/>
      <c r="E51" s="32"/>
      <c r="F51" s="32"/>
      <c r="G51" s="32"/>
      <c r="H51" s="32"/>
      <c r="I51" s="32"/>
      <c r="J51" s="32"/>
      <c r="K51" s="32"/>
      <c r="L51" s="18"/>
      <c r="M51" s="18"/>
      <c r="P51" s="387"/>
      <c r="Q51" s="315"/>
    </row>
    <row r="52" spans="2:17" ht="15" hidden="1">
      <c r="B52" s="32" t="s">
        <v>307</v>
      </c>
      <c r="C52" s="32"/>
      <c r="D52" s="32"/>
      <c r="E52" s="32"/>
      <c r="F52" s="32"/>
      <c r="G52" s="32"/>
      <c r="H52" s="32"/>
      <c r="I52" s="32"/>
      <c r="J52" s="32"/>
      <c r="K52" s="32"/>
      <c r="L52" s="18"/>
      <c r="M52" s="18"/>
      <c r="P52" s="387">
        <f aca="true" t="shared" si="1" ref="P52:P77">+H52-I52</f>
        <v>0</v>
      </c>
      <c r="Q52" s="315" t="e">
        <f>+P52/I52</f>
        <v>#DIV/0!</v>
      </c>
    </row>
    <row r="53" spans="2:17" ht="15" hidden="1">
      <c r="B53" s="32" t="s">
        <v>308</v>
      </c>
      <c r="C53" s="32"/>
      <c r="D53" s="32"/>
      <c r="E53" s="32"/>
      <c r="F53" s="32"/>
      <c r="G53" s="32"/>
      <c r="H53" s="32"/>
      <c r="I53" s="32"/>
      <c r="J53" s="32"/>
      <c r="K53" s="32"/>
      <c r="L53" s="18"/>
      <c r="M53" s="18"/>
      <c r="P53" s="387">
        <f t="shared" si="1"/>
        <v>0</v>
      </c>
      <c r="Q53" s="315" t="e">
        <f>+P53/I53</f>
        <v>#DIV/0!</v>
      </c>
    </row>
    <row r="54" spans="2:17" ht="15">
      <c r="B54" s="32" t="s">
        <v>309</v>
      </c>
      <c r="C54" s="32"/>
      <c r="D54" s="32"/>
      <c r="E54" s="32"/>
      <c r="F54" s="32"/>
      <c r="G54" s="32"/>
      <c r="H54" s="84">
        <v>2280703.71</v>
      </c>
      <c r="I54" s="84">
        <v>4487674.21</v>
      </c>
      <c r="J54" s="84">
        <v>4936399.99</v>
      </c>
      <c r="K54" s="84">
        <v>5246892.22</v>
      </c>
      <c r="L54" s="84">
        <v>8053074.84</v>
      </c>
      <c r="M54" s="84">
        <v>4295247.69</v>
      </c>
      <c r="N54" s="18">
        <v>5495025.39</v>
      </c>
      <c r="P54" s="387">
        <f t="shared" si="1"/>
        <v>-2206970.5</v>
      </c>
      <c r="Q54" s="315">
        <f>+P54/I54</f>
        <v>-0.49178491947613995</v>
      </c>
    </row>
    <row r="55" spans="2:17" ht="15" hidden="1">
      <c r="B55" s="32" t="s">
        <v>310</v>
      </c>
      <c r="C55" s="32"/>
      <c r="D55" s="32"/>
      <c r="E55" s="32"/>
      <c r="F55" s="32"/>
      <c r="G55" s="32"/>
      <c r="H55" s="32"/>
      <c r="I55" s="84"/>
      <c r="J55" s="84"/>
      <c r="K55" s="84"/>
      <c r="L55" s="84"/>
      <c r="M55" s="84"/>
      <c r="N55" s="18"/>
      <c r="P55" s="387">
        <f t="shared" si="1"/>
        <v>0</v>
      </c>
      <c r="Q55" s="315" t="e">
        <f aca="true" t="shared" si="2" ref="Q55:Q118">+P55/I55</f>
        <v>#DIV/0!</v>
      </c>
    </row>
    <row r="56" spans="2:17" ht="15">
      <c r="B56" s="32" t="s">
        <v>311</v>
      </c>
      <c r="C56" s="32"/>
      <c r="D56" s="32"/>
      <c r="E56" s="32"/>
      <c r="F56" s="32"/>
      <c r="G56" s="32"/>
      <c r="H56" s="84">
        <v>39919.2</v>
      </c>
      <c r="I56" s="84">
        <v>39440</v>
      </c>
      <c r="J56" s="84">
        <v>58118.28</v>
      </c>
      <c r="K56" s="84">
        <v>385788.5</v>
      </c>
      <c r="L56" s="84">
        <v>57802.2</v>
      </c>
      <c r="M56" s="84">
        <v>79829.34</v>
      </c>
      <c r="N56" s="18">
        <v>50556.89</v>
      </c>
      <c r="P56" s="387">
        <f t="shared" si="1"/>
        <v>479.1999999999971</v>
      </c>
      <c r="Q56" s="315">
        <f t="shared" si="2"/>
        <v>0.012150101419878222</v>
      </c>
    </row>
    <row r="57" spans="2:17" ht="15">
      <c r="B57" s="32" t="s">
        <v>312</v>
      </c>
      <c r="C57" s="32"/>
      <c r="D57" s="32"/>
      <c r="E57" s="32"/>
      <c r="F57" s="32"/>
      <c r="G57" s="32"/>
      <c r="H57" s="84">
        <v>8499919.59</v>
      </c>
      <c r="I57" s="84">
        <v>6004195.54</v>
      </c>
      <c r="J57" s="84">
        <v>4534507.11</v>
      </c>
      <c r="K57" s="84">
        <v>5300373.66</v>
      </c>
      <c r="L57" s="84">
        <v>133535.38</v>
      </c>
      <c r="M57" s="84">
        <v>4243944.87</v>
      </c>
      <c r="N57" s="18">
        <v>2685649.48</v>
      </c>
      <c r="P57" s="387">
        <f t="shared" si="1"/>
        <v>2495724.05</v>
      </c>
      <c r="Q57" s="315">
        <f t="shared" si="2"/>
        <v>0.41566335296268514</v>
      </c>
    </row>
    <row r="58" spans="2:17" ht="15">
      <c r="B58" s="32" t="s">
        <v>313</v>
      </c>
      <c r="C58" s="32"/>
      <c r="D58" s="32"/>
      <c r="E58" s="32"/>
      <c r="F58" s="32"/>
      <c r="G58" s="32"/>
      <c r="H58" s="84">
        <v>6000252.65</v>
      </c>
      <c r="I58" s="84">
        <v>5028999.24</v>
      </c>
      <c r="J58" s="84">
        <v>5006635.5</v>
      </c>
      <c r="K58" s="84">
        <v>5773981.46</v>
      </c>
      <c r="L58" s="84">
        <v>5962856.93</v>
      </c>
      <c r="M58" s="84">
        <v>5282460.72</v>
      </c>
      <c r="N58" s="18">
        <v>5626179.9</v>
      </c>
      <c r="P58" s="387">
        <f t="shared" si="1"/>
        <v>971253.4100000001</v>
      </c>
      <c r="Q58" s="315">
        <f t="shared" si="2"/>
        <v>0.19313055414182168</v>
      </c>
    </row>
    <row r="59" spans="2:17" ht="15">
      <c r="B59" s="32" t="s">
        <v>314</v>
      </c>
      <c r="C59" s="32"/>
      <c r="D59" s="32"/>
      <c r="E59" s="32"/>
      <c r="F59" s="32"/>
      <c r="G59" s="32"/>
      <c r="H59" s="84">
        <f>45248+157125</f>
        <v>202373</v>
      </c>
      <c r="I59" s="84">
        <f>67872+78302</f>
        <v>146174</v>
      </c>
      <c r="J59" s="84">
        <f>67872+136450</f>
        <v>204322</v>
      </c>
      <c r="K59" s="84">
        <f>52320+86122</f>
        <v>138442</v>
      </c>
      <c r="L59" s="84">
        <f>6080+58788+51093</f>
        <v>115961</v>
      </c>
      <c r="M59" s="84">
        <f>52320+64976</f>
        <v>117296</v>
      </c>
      <c r="N59" s="18">
        <f>52320+78711</f>
        <v>131031</v>
      </c>
      <c r="P59" s="387">
        <f t="shared" si="1"/>
        <v>56199</v>
      </c>
      <c r="Q59" s="315">
        <f t="shared" si="2"/>
        <v>0.3844664577831899</v>
      </c>
    </row>
    <row r="60" spans="2:17" ht="15">
      <c r="B60" s="32" t="s">
        <v>315</v>
      </c>
      <c r="C60" s="32"/>
      <c r="D60" s="32"/>
      <c r="E60" s="32"/>
      <c r="F60" s="32"/>
      <c r="G60" s="32"/>
      <c r="H60" s="84">
        <v>164388.63</v>
      </c>
      <c r="I60" s="84">
        <v>141469.81</v>
      </c>
      <c r="J60" s="84">
        <v>148967.57</v>
      </c>
      <c r="K60" s="84">
        <v>146848</v>
      </c>
      <c r="L60" s="84">
        <v>150505.6</v>
      </c>
      <c r="M60" s="84">
        <v>193455.17</v>
      </c>
      <c r="N60" s="18">
        <v>125209</v>
      </c>
      <c r="P60" s="387">
        <f t="shared" si="1"/>
        <v>22918.820000000007</v>
      </c>
      <c r="Q60" s="315">
        <f t="shared" si="2"/>
        <v>0.1620050242521709</v>
      </c>
    </row>
    <row r="61" spans="2:17" ht="15">
      <c r="B61" s="32" t="s">
        <v>316</v>
      </c>
      <c r="C61" s="32"/>
      <c r="D61" s="32"/>
      <c r="E61" s="32"/>
      <c r="F61" s="32"/>
      <c r="G61" s="32"/>
      <c r="H61" s="84">
        <v>272299.97</v>
      </c>
      <c r="I61" s="84">
        <v>456266.59</v>
      </c>
      <c r="J61" s="84">
        <v>246816.56</v>
      </c>
      <c r="K61" s="84">
        <v>406116.6</v>
      </c>
      <c r="L61" s="84">
        <v>460230.51</v>
      </c>
      <c r="M61" s="84">
        <v>460200</v>
      </c>
      <c r="N61" s="18">
        <v>389400</v>
      </c>
      <c r="P61" s="387">
        <f t="shared" si="1"/>
        <v>-183966.62000000005</v>
      </c>
      <c r="Q61" s="315">
        <f t="shared" si="2"/>
        <v>-0.40319984857975255</v>
      </c>
    </row>
    <row r="62" spans="2:17" ht="15" hidden="1">
      <c r="B62" s="32" t="s">
        <v>317</v>
      </c>
      <c r="C62" s="32"/>
      <c r="D62" s="32"/>
      <c r="E62" s="32"/>
      <c r="F62" s="32"/>
      <c r="G62" s="32"/>
      <c r="H62" s="84"/>
      <c r="I62" s="84"/>
      <c r="J62" s="84"/>
      <c r="K62" s="84"/>
      <c r="L62" s="84"/>
      <c r="M62" s="84"/>
      <c r="N62" s="18"/>
      <c r="P62" s="387">
        <f t="shared" si="1"/>
        <v>0</v>
      </c>
      <c r="Q62" s="315" t="e">
        <f t="shared" si="2"/>
        <v>#DIV/0!</v>
      </c>
    </row>
    <row r="63" spans="2:17" ht="15" hidden="1">
      <c r="B63" s="32" t="s">
        <v>318</v>
      </c>
      <c r="C63" s="32"/>
      <c r="D63" s="32"/>
      <c r="E63" s="32"/>
      <c r="F63" s="32"/>
      <c r="G63" s="32"/>
      <c r="H63" s="84"/>
      <c r="I63" s="84"/>
      <c r="J63" s="84"/>
      <c r="K63" s="84"/>
      <c r="L63" s="84"/>
      <c r="M63" s="84"/>
      <c r="N63" s="18"/>
      <c r="P63" s="387">
        <f t="shared" si="1"/>
        <v>0</v>
      </c>
      <c r="Q63" s="315" t="e">
        <f t="shared" si="2"/>
        <v>#DIV/0!</v>
      </c>
    </row>
    <row r="64" spans="2:17" ht="15" hidden="1">
      <c r="B64" s="32" t="s">
        <v>319</v>
      </c>
      <c r="C64" s="32"/>
      <c r="D64" s="32"/>
      <c r="E64" s="32"/>
      <c r="F64" s="32"/>
      <c r="G64" s="32"/>
      <c r="H64" s="84"/>
      <c r="I64" s="84"/>
      <c r="J64" s="84"/>
      <c r="K64" s="84"/>
      <c r="L64" s="84"/>
      <c r="M64" s="84"/>
      <c r="N64" s="18"/>
      <c r="P64" s="387">
        <f t="shared" si="1"/>
        <v>0</v>
      </c>
      <c r="Q64" s="315" t="e">
        <f t="shared" si="2"/>
        <v>#DIV/0!</v>
      </c>
    </row>
    <row r="65" spans="2:17" ht="15" hidden="1">
      <c r="B65" s="32" t="s">
        <v>320</v>
      </c>
      <c r="C65" s="32"/>
      <c r="D65" s="32"/>
      <c r="E65" s="32"/>
      <c r="F65" s="32"/>
      <c r="G65" s="32"/>
      <c r="H65" s="84"/>
      <c r="I65" s="84"/>
      <c r="J65" s="84"/>
      <c r="K65" s="84"/>
      <c r="L65" s="84"/>
      <c r="M65" s="84"/>
      <c r="N65" s="18"/>
      <c r="P65" s="387">
        <f t="shared" si="1"/>
        <v>0</v>
      </c>
      <c r="Q65" s="315" t="e">
        <f t="shared" si="2"/>
        <v>#DIV/0!</v>
      </c>
    </row>
    <row r="66" spans="2:17" ht="15">
      <c r="B66" s="32" t="s">
        <v>321</v>
      </c>
      <c r="C66" s="32"/>
      <c r="D66" s="32"/>
      <c r="E66" s="32"/>
      <c r="F66" s="32"/>
      <c r="G66" s="32"/>
      <c r="H66" s="84">
        <v>19940328.7</v>
      </c>
      <c r="I66" s="84">
        <v>16130720.45</v>
      </c>
      <c r="J66" s="84">
        <v>14103158.53</v>
      </c>
      <c r="K66" s="84">
        <v>16878722.64</v>
      </c>
      <c r="L66" s="84">
        <v>13143057.35</v>
      </c>
      <c r="M66" s="84">
        <v>16454604.38</v>
      </c>
      <c r="N66" s="18">
        <v>15708260.12</v>
      </c>
      <c r="P66" s="387">
        <f t="shared" si="1"/>
        <v>3809608.25</v>
      </c>
      <c r="Q66" s="315">
        <f t="shared" si="2"/>
        <v>0.23617099197822874</v>
      </c>
    </row>
    <row r="67" spans="2:17" ht="15">
      <c r="B67" s="32" t="s">
        <v>322</v>
      </c>
      <c r="C67" s="32"/>
      <c r="D67" s="32"/>
      <c r="E67" s="32"/>
      <c r="F67" s="32"/>
      <c r="G67" s="32"/>
      <c r="H67" s="84">
        <v>271825.97</v>
      </c>
      <c r="I67" s="84">
        <v>271935.7</v>
      </c>
      <c r="J67" s="84">
        <v>51480.1</v>
      </c>
      <c r="K67" s="84">
        <v>50610.5</v>
      </c>
      <c r="L67" s="84">
        <v>251560.44</v>
      </c>
      <c r="M67" s="84">
        <v>194486.56</v>
      </c>
      <c r="N67" s="18">
        <v>199866.98</v>
      </c>
      <c r="P67" s="387">
        <f t="shared" si="1"/>
        <v>-109.73000000003958</v>
      </c>
      <c r="Q67" s="315">
        <f t="shared" si="2"/>
        <v>-0.0004035145072899203</v>
      </c>
    </row>
    <row r="68" spans="2:17" ht="15">
      <c r="B68" s="32" t="s">
        <v>580</v>
      </c>
      <c r="C68" s="32"/>
      <c r="D68" s="32"/>
      <c r="E68" s="32"/>
      <c r="F68" s="32"/>
      <c r="G68" s="32"/>
      <c r="H68" s="84">
        <v>748834.59</v>
      </c>
      <c r="I68" s="84">
        <v>228210</v>
      </c>
      <c r="J68" s="84">
        <v>562309.35</v>
      </c>
      <c r="K68" s="84">
        <v>645760</v>
      </c>
      <c r="L68" s="84">
        <v>312630.62</v>
      </c>
      <c r="M68" s="84">
        <v>540811.64</v>
      </c>
      <c r="N68" s="18">
        <v>232440</v>
      </c>
      <c r="P68" s="387">
        <f t="shared" si="1"/>
        <v>520624.58999999997</v>
      </c>
      <c r="Q68" s="315">
        <f t="shared" si="2"/>
        <v>2.2813399500460103</v>
      </c>
    </row>
    <row r="69" spans="2:17" ht="15">
      <c r="B69" s="32" t="s">
        <v>516</v>
      </c>
      <c r="C69" s="32"/>
      <c r="D69" s="32"/>
      <c r="E69" s="32"/>
      <c r="F69" s="32"/>
      <c r="G69" s="32"/>
      <c r="H69" s="84"/>
      <c r="I69" s="84">
        <v>245316.87</v>
      </c>
      <c r="J69" s="84">
        <v>1378498.92</v>
      </c>
      <c r="K69" s="84">
        <v>687856.62</v>
      </c>
      <c r="L69" s="84">
        <v>1053706.27</v>
      </c>
      <c r="M69" s="84">
        <v>650089.47</v>
      </c>
      <c r="N69" s="18">
        <v>626737.91</v>
      </c>
      <c r="P69" s="387">
        <f t="shared" si="1"/>
        <v>-245316.87</v>
      </c>
      <c r="Q69" s="315">
        <f t="shared" si="2"/>
        <v>-1</v>
      </c>
    </row>
    <row r="70" spans="2:17" ht="15" hidden="1">
      <c r="B70" s="32" t="s">
        <v>530</v>
      </c>
      <c r="C70" s="32"/>
      <c r="D70" s="32"/>
      <c r="E70" s="32"/>
      <c r="F70" s="32"/>
      <c r="G70" s="32"/>
      <c r="H70" s="84"/>
      <c r="I70" s="84"/>
      <c r="J70" s="84">
        <v>9600</v>
      </c>
      <c r="K70" s="84">
        <v>25123</v>
      </c>
      <c r="L70" s="84"/>
      <c r="M70" s="84">
        <v>33817.28</v>
      </c>
      <c r="N70" s="18"/>
      <c r="P70" s="387">
        <f t="shared" si="1"/>
        <v>0</v>
      </c>
      <c r="Q70" s="315" t="e">
        <f t="shared" si="2"/>
        <v>#DIV/0!</v>
      </c>
    </row>
    <row r="71" spans="2:17" ht="15">
      <c r="B71" s="32" t="s">
        <v>323</v>
      </c>
      <c r="C71" s="32"/>
      <c r="D71" s="32"/>
      <c r="E71" s="32"/>
      <c r="F71" s="32"/>
      <c r="G71" s="32"/>
      <c r="H71" s="84">
        <v>223297.17</v>
      </c>
      <c r="I71" s="84">
        <v>188700.54</v>
      </c>
      <c r="J71" s="84">
        <v>1873012.07</v>
      </c>
      <c r="K71" s="84">
        <v>704029.59</v>
      </c>
      <c r="L71" s="84">
        <v>738320.06</v>
      </c>
      <c r="M71" s="84">
        <v>746187.62</v>
      </c>
      <c r="N71" s="18">
        <v>2366115.76</v>
      </c>
      <c r="P71" s="387">
        <f t="shared" si="1"/>
        <v>34596.630000000005</v>
      </c>
      <c r="Q71" s="315">
        <f t="shared" si="2"/>
        <v>0.18334144671764058</v>
      </c>
    </row>
    <row r="72" spans="2:17" ht="15">
      <c r="B72" s="32" t="s">
        <v>324</v>
      </c>
      <c r="C72" s="32"/>
      <c r="D72" s="32"/>
      <c r="E72" s="32"/>
      <c r="F72" s="32"/>
      <c r="G72" s="32"/>
      <c r="H72" s="84">
        <v>12000</v>
      </c>
      <c r="I72" s="84"/>
      <c r="J72" s="84"/>
      <c r="K72" s="84"/>
      <c r="L72" s="84">
        <v>47490.43</v>
      </c>
      <c r="M72" s="84"/>
      <c r="N72" s="18">
        <v>400</v>
      </c>
      <c r="P72" s="387">
        <f t="shared" si="1"/>
        <v>12000</v>
      </c>
      <c r="Q72" s="315" t="e">
        <f t="shared" si="2"/>
        <v>#DIV/0!</v>
      </c>
    </row>
    <row r="73" spans="2:17" ht="15">
      <c r="B73" s="32" t="s">
        <v>325</v>
      </c>
      <c r="C73" s="32"/>
      <c r="D73" s="32"/>
      <c r="E73" s="32"/>
      <c r="F73" s="32"/>
      <c r="G73" s="32"/>
      <c r="H73" s="84">
        <v>67497</v>
      </c>
      <c r="I73" s="84">
        <v>22660</v>
      </c>
      <c r="J73" s="84">
        <v>37267</v>
      </c>
      <c r="K73" s="84">
        <v>45485</v>
      </c>
      <c r="L73" s="84">
        <v>17835</v>
      </c>
      <c r="M73" s="84">
        <v>32825</v>
      </c>
      <c r="N73" s="18">
        <v>14077</v>
      </c>
      <c r="P73" s="387">
        <f t="shared" si="1"/>
        <v>44837</v>
      </c>
      <c r="Q73" s="315">
        <f t="shared" si="2"/>
        <v>1.978684907325684</v>
      </c>
    </row>
    <row r="74" spans="2:17" ht="15">
      <c r="B74" s="32" t="s">
        <v>326</v>
      </c>
      <c r="C74" s="32"/>
      <c r="D74" s="32"/>
      <c r="E74" s="32"/>
      <c r="F74" s="32"/>
      <c r="G74" s="32"/>
      <c r="H74" s="84">
        <v>607066.68</v>
      </c>
      <c r="I74" s="84">
        <v>579511.13</v>
      </c>
      <c r="J74" s="84">
        <v>272711.12</v>
      </c>
      <c r="K74" s="84">
        <v>613600.02</v>
      </c>
      <c r="L74" s="84">
        <v>248428.84</v>
      </c>
      <c r="M74" s="84">
        <v>545422.24</v>
      </c>
      <c r="N74" s="18">
        <v>75699</v>
      </c>
      <c r="P74" s="387">
        <f t="shared" si="1"/>
        <v>27555.550000000047</v>
      </c>
      <c r="Q74" s="315">
        <f t="shared" si="2"/>
        <v>0.04754964757967642</v>
      </c>
    </row>
    <row r="75" spans="2:17" ht="15" hidden="1">
      <c r="B75" s="32" t="s">
        <v>327</v>
      </c>
      <c r="C75" s="32"/>
      <c r="D75" s="32"/>
      <c r="E75" s="32"/>
      <c r="F75" s="32"/>
      <c r="G75" s="32"/>
      <c r="H75" s="84"/>
      <c r="I75" s="84"/>
      <c r="J75" s="84"/>
      <c r="K75" s="84"/>
      <c r="L75" s="84"/>
      <c r="M75" s="84"/>
      <c r="N75" s="18">
        <v>22962.7</v>
      </c>
      <c r="P75" s="387">
        <f t="shared" si="1"/>
        <v>0</v>
      </c>
      <c r="Q75" s="315" t="e">
        <f t="shared" si="2"/>
        <v>#DIV/0!</v>
      </c>
    </row>
    <row r="76" spans="2:17" ht="15" hidden="1">
      <c r="B76" s="32" t="s">
        <v>328</v>
      </c>
      <c r="C76" s="32"/>
      <c r="D76" s="32"/>
      <c r="E76" s="32"/>
      <c r="F76" s="32"/>
      <c r="G76" s="32"/>
      <c r="H76" s="84"/>
      <c r="I76" s="84"/>
      <c r="J76" s="84"/>
      <c r="K76" s="84"/>
      <c r="L76" s="84"/>
      <c r="M76" s="84"/>
      <c r="N76" s="18"/>
      <c r="P76" s="387">
        <f t="shared" si="1"/>
        <v>0</v>
      </c>
      <c r="Q76" s="315" t="e">
        <f t="shared" si="2"/>
        <v>#DIV/0!</v>
      </c>
    </row>
    <row r="77" spans="2:17" ht="15" hidden="1">
      <c r="B77" s="32" t="s">
        <v>329</v>
      </c>
      <c r="C77" s="32"/>
      <c r="D77" s="32"/>
      <c r="E77" s="32"/>
      <c r="F77" s="32"/>
      <c r="G77" s="32"/>
      <c r="H77" s="84"/>
      <c r="I77" s="84"/>
      <c r="J77" s="84"/>
      <c r="K77" s="84"/>
      <c r="L77" s="84">
        <v>312000</v>
      </c>
      <c r="M77" s="84">
        <v>3532</v>
      </c>
      <c r="N77" s="18">
        <v>5280.68</v>
      </c>
      <c r="P77" s="387">
        <f t="shared" si="1"/>
        <v>0</v>
      </c>
      <c r="Q77" s="315" t="e">
        <f t="shared" si="2"/>
        <v>#DIV/0!</v>
      </c>
    </row>
    <row r="78" spans="2:17" ht="15" hidden="1">
      <c r="B78" s="32" t="s">
        <v>330</v>
      </c>
      <c r="C78" s="32"/>
      <c r="D78" s="32"/>
      <c r="E78" s="32"/>
      <c r="F78" s="32"/>
      <c r="G78" s="32"/>
      <c r="H78" s="84"/>
      <c r="I78" s="84"/>
      <c r="J78" s="84"/>
      <c r="K78" s="84"/>
      <c r="L78" s="84">
        <v>602388.47</v>
      </c>
      <c r="M78" s="84"/>
      <c r="N78" s="18">
        <v>479554.17</v>
      </c>
      <c r="P78" s="387">
        <f aca="true" t="shared" si="3" ref="P78:P134">+H78-I78</f>
        <v>0</v>
      </c>
      <c r="Q78" s="315" t="e">
        <f t="shared" si="2"/>
        <v>#DIV/0!</v>
      </c>
    </row>
    <row r="79" spans="2:17" ht="15">
      <c r="B79" s="32" t="s">
        <v>331</v>
      </c>
      <c r="C79" s="32"/>
      <c r="D79" s="32"/>
      <c r="E79" s="32"/>
      <c r="F79" s="32"/>
      <c r="G79" s="32"/>
      <c r="H79" s="84">
        <v>166625.4</v>
      </c>
      <c r="I79" s="84">
        <v>153573.86</v>
      </c>
      <c r="J79" s="84">
        <v>199925.4</v>
      </c>
      <c r="K79" s="84">
        <v>10164</v>
      </c>
      <c r="L79" s="84">
        <v>102216.3</v>
      </c>
      <c r="M79" s="84"/>
      <c r="N79" s="18">
        <v>106868</v>
      </c>
      <c r="P79" s="387">
        <f t="shared" si="3"/>
        <v>13051.540000000008</v>
      </c>
      <c r="Q79" s="315">
        <f t="shared" si="2"/>
        <v>0.08498542655631636</v>
      </c>
    </row>
    <row r="80" spans="2:17" ht="15" hidden="1">
      <c r="B80" s="32" t="s">
        <v>332</v>
      </c>
      <c r="C80" s="32"/>
      <c r="D80" s="32"/>
      <c r="E80" s="32"/>
      <c r="F80" s="32"/>
      <c r="G80" s="32"/>
      <c r="H80" s="84"/>
      <c r="I80" s="84"/>
      <c r="J80" s="84"/>
      <c r="K80" s="84"/>
      <c r="L80" s="84"/>
      <c r="M80" s="84"/>
      <c r="N80" s="18"/>
      <c r="P80" s="387">
        <f t="shared" si="3"/>
        <v>0</v>
      </c>
      <c r="Q80" s="315" t="e">
        <f t="shared" si="2"/>
        <v>#DIV/0!</v>
      </c>
    </row>
    <row r="81" spans="2:17" ht="15">
      <c r="B81" s="32" t="s">
        <v>333</v>
      </c>
      <c r="C81" s="32"/>
      <c r="D81" s="32"/>
      <c r="E81" s="32"/>
      <c r="F81" s="32"/>
      <c r="G81" s="32"/>
      <c r="H81" s="84">
        <v>898338.58</v>
      </c>
      <c r="I81" s="84">
        <v>897131.53</v>
      </c>
      <c r="J81" s="84">
        <v>953124.67</v>
      </c>
      <c r="K81" s="84">
        <v>910950.49</v>
      </c>
      <c r="L81" s="84">
        <v>679232.52</v>
      </c>
      <c r="M81" s="84">
        <v>884382.48</v>
      </c>
      <c r="N81" s="18">
        <v>886401.68</v>
      </c>
      <c r="P81" s="387">
        <f t="shared" si="3"/>
        <v>1207.0499999999302</v>
      </c>
      <c r="Q81" s="315">
        <f t="shared" si="2"/>
        <v>0.0013454548855282458</v>
      </c>
    </row>
    <row r="82" spans="2:17" ht="15">
      <c r="B82" s="32" t="s">
        <v>334</v>
      </c>
      <c r="C82" s="32"/>
      <c r="D82" s="32"/>
      <c r="E82" s="32"/>
      <c r="F82" s="32"/>
      <c r="G82" s="32"/>
      <c r="H82" s="84">
        <v>728902.12</v>
      </c>
      <c r="I82" s="84">
        <v>727211.34</v>
      </c>
      <c r="J82" s="84">
        <v>741335.17</v>
      </c>
      <c r="K82" s="84">
        <v>627545.28</v>
      </c>
      <c r="L82" s="84">
        <v>560586.2</v>
      </c>
      <c r="M82" s="84">
        <v>494739.78</v>
      </c>
      <c r="N82" s="18">
        <v>418215.3</v>
      </c>
      <c r="P82" s="387">
        <f t="shared" si="3"/>
        <v>1690.780000000028</v>
      </c>
      <c r="Q82" s="315">
        <f t="shared" si="2"/>
        <v>0.0023250187490200963</v>
      </c>
    </row>
    <row r="83" spans="1:17" ht="15">
      <c r="A83" s="96"/>
      <c r="B83" s="32" t="s">
        <v>335</v>
      </c>
      <c r="C83" s="32"/>
      <c r="D83" s="32"/>
      <c r="E83" s="32"/>
      <c r="F83" s="32"/>
      <c r="G83" s="32"/>
      <c r="H83" s="84">
        <v>2153382.69</v>
      </c>
      <c r="I83" s="84">
        <v>1866290.4</v>
      </c>
      <c r="J83" s="84">
        <v>1293357.91</v>
      </c>
      <c r="K83" s="84">
        <v>11579.64</v>
      </c>
      <c r="L83" s="84">
        <v>11579.76</v>
      </c>
      <c r="M83" s="84">
        <v>12544.72</v>
      </c>
      <c r="N83" s="18">
        <v>15366.56</v>
      </c>
      <c r="O83" s="196">
        <f>+J83-K83</f>
        <v>1281778.27</v>
      </c>
      <c r="P83" s="387">
        <f t="shared" si="3"/>
        <v>287092.29000000004</v>
      </c>
      <c r="Q83" s="315">
        <f t="shared" si="2"/>
        <v>0.1538304488947701</v>
      </c>
    </row>
    <row r="84" spans="2:17" ht="15">
      <c r="B84" s="32" t="s">
        <v>336</v>
      </c>
      <c r="C84" s="32"/>
      <c r="D84" s="32"/>
      <c r="E84" s="32"/>
      <c r="F84" s="32"/>
      <c r="G84" s="32"/>
      <c r="H84" s="84">
        <v>28484.95</v>
      </c>
      <c r="I84" s="84">
        <v>45269.72</v>
      </c>
      <c r="J84" s="84">
        <v>47781.07</v>
      </c>
      <c r="K84" s="84">
        <v>45575.89</v>
      </c>
      <c r="L84" s="84">
        <v>45575.88</v>
      </c>
      <c r="M84" s="84">
        <v>45575.88</v>
      </c>
      <c r="N84" s="18">
        <v>45575.88</v>
      </c>
      <c r="P84" s="387">
        <f>+H84-I84</f>
        <v>-16784.77</v>
      </c>
      <c r="Q84" s="315">
        <f t="shared" si="2"/>
        <v>-0.3707725605548256</v>
      </c>
    </row>
    <row r="85" spans="2:17" ht="15" hidden="1">
      <c r="B85" s="32" t="s">
        <v>337</v>
      </c>
      <c r="C85" s="32"/>
      <c r="D85" s="32"/>
      <c r="E85" s="32"/>
      <c r="F85" s="32"/>
      <c r="G85" s="32"/>
      <c r="H85" s="84"/>
      <c r="I85" s="84"/>
      <c r="J85" s="84"/>
      <c r="K85" s="84"/>
      <c r="L85" s="84">
        <v>180252.96</v>
      </c>
      <c r="M85" s="84"/>
      <c r="N85" s="18">
        <v>120168.64</v>
      </c>
      <c r="P85" s="387">
        <f aca="true" t="shared" si="4" ref="P85:P90">+H85-I85</f>
        <v>0</v>
      </c>
      <c r="Q85" s="315" t="e">
        <f t="shared" si="2"/>
        <v>#DIV/0!</v>
      </c>
    </row>
    <row r="86" spans="2:17" ht="15" hidden="1">
      <c r="B86" s="32" t="s">
        <v>338</v>
      </c>
      <c r="C86" s="32"/>
      <c r="D86" s="32"/>
      <c r="E86" s="32"/>
      <c r="F86" s="32"/>
      <c r="G86" s="32"/>
      <c r="H86" s="84"/>
      <c r="I86" s="84"/>
      <c r="J86" s="84"/>
      <c r="K86" s="84"/>
      <c r="L86" s="84">
        <v>2899.98</v>
      </c>
      <c r="M86" s="84"/>
      <c r="N86" s="18"/>
      <c r="P86" s="387">
        <f t="shared" si="4"/>
        <v>0</v>
      </c>
      <c r="Q86" s="315" t="e">
        <f t="shared" si="2"/>
        <v>#DIV/0!</v>
      </c>
    </row>
    <row r="87" spans="2:17" ht="15">
      <c r="B87" s="32" t="s">
        <v>611</v>
      </c>
      <c r="C87" s="32"/>
      <c r="D87" s="32"/>
      <c r="E87" s="32"/>
      <c r="F87" s="32"/>
      <c r="G87" s="32"/>
      <c r="H87" s="84">
        <v>59647</v>
      </c>
      <c r="I87" s="84"/>
      <c r="J87" s="84">
        <v>50781.97</v>
      </c>
      <c r="K87" s="84"/>
      <c r="L87" s="84"/>
      <c r="M87" s="84"/>
      <c r="N87" s="18"/>
      <c r="P87" s="387">
        <f t="shared" si="4"/>
        <v>59647</v>
      </c>
      <c r="Q87" s="315" t="e">
        <f t="shared" si="2"/>
        <v>#DIV/0!</v>
      </c>
    </row>
    <row r="88" spans="1:20" s="5" customFormat="1" ht="15">
      <c r="A88" s="96" t="s">
        <v>97</v>
      </c>
      <c r="B88" s="32" t="s">
        <v>690</v>
      </c>
      <c r="C88" s="32"/>
      <c r="D88" s="32"/>
      <c r="E88" s="32"/>
      <c r="F88" s="32"/>
      <c r="G88" s="32"/>
      <c r="H88" s="84">
        <v>3951025.2</v>
      </c>
      <c r="I88" s="84"/>
      <c r="J88" s="84"/>
      <c r="K88" s="84"/>
      <c r="L88" s="84"/>
      <c r="M88" s="84"/>
      <c r="N88" s="18"/>
      <c r="P88" s="387">
        <f t="shared" si="4"/>
        <v>3951025.2</v>
      </c>
      <c r="Q88" s="315" t="e">
        <f t="shared" si="2"/>
        <v>#DIV/0!</v>
      </c>
      <c r="R88" s="216"/>
      <c r="S88" s="216"/>
      <c r="T88" s="216"/>
    </row>
    <row r="89" spans="2:17" ht="15">
      <c r="B89" s="32" t="s">
        <v>339</v>
      </c>
      <c r="C89" s="32"/>
      <c r="D89" s="32"/>
      <c r="E89" s="32"/>
      <c r="F89" s="32"/>
      <c r="G89" s="32"/>
      <c r="H89" s="84">
        <v>653445.53</v>
      </c>
      <c r="I89" s="84">
        <v>360198.64</v>
      </c>
      <c r="J89" s="84">
        <v>273675.28</v>
      </c>
      <c r="K89" s="84">
        <v>291705.24</v>
      </c>
      <c r="L89" s="84">
        <v>144310.78</v>
      </c>
      <c r="M89" s="84">
        <v>414474.96</v>
      </c>
      <c r="N89" s="18">
        <v>311656.51</v>
      </c>
      <c r="P89" s="387">
        <f t="shared" si="4"/>
        <v>293246.89</v>
      </c>
      <c r="Q89" s="315">
        <f t="shared" si="2"/>
        <v>0.8141254780973076</v>
      </c>
    </row>
    <row r="90" spans="2:17" ht="15" hidden="1">
      <c r="B90" s="32" t="s">
        <v>340</v>
      </c>
      <c r="C90" s="32"/>
      <c r="D90" s="32"/>
      <c r="E90" s="32"/>
      <c r="F90" s="32"/>
      <c r="G90" s="32"/>
      <c r="H90" s="84"/>
      <c r="I90" s="84"/>
      <c r="J90" s="84"/>
      <c r="K90" s="84"/>
      <c r="L90" s="84"/>
      <c r="M90" s="84"/>
      <c r="N90" s="18"/>
      <c r="P90" s="387">
        <f t="shared" si="4"/>
        <v>0</v>
      </c>
      <c r="Q90" s="315" t="e">
        <f t="shared" si="2"/>
        <v>#DIV/0!</v>
      </c>
    </row>
    <row r="91" spans="2:17" ht="15">
      <c r="B91" s="32" t="s">
        <v>341</v>
      </c>
      <c r="C91" s="32"/>
      <c r="D91" s="32"/>
      <c r="E91" s="32"/>
      <c r="F91" s="32"/>
      <c r="G91" s="32"/>
      <c r="H91" s="84">
        <v>1223929.67</v>
      </c>
      <c r="I91" s="84">
        <v>1636829.06</v>
      </c>
      <c r="J91" s="84">
        <v>1832976.31</v>
      </c>
      <c r="K91" s="84">
        <v>1087509.44</v>
      </c>
      <c r="L91" s="84">
        <v>2351724.11</v>
      </c>
      <c r="M91" s="84">
        <v>1730784.73</v>
      </c>
      <c r="N91" s="18">
        <v>1978783.09</v>
      </c>
      <c r="P91" s="387">
        <f t="shared" si="3"/>
        <v>-412899.39000000013</v>
      </c>
      <c r="Q91" s="315">
        <f t="shared" si="2"/>
        <v>-0.2522556570446031</v>
      </c>
    </row>
    <row r="92" spans="2:17" ht="15" hidden="1">
      <c r="B92" s="32" t="s">
        <v>342</v>
      </c>
      <c r="C92" s="32"/>
      <c r="D92" s="32"/>
      <c r="E92" s="32"/>
      <c r="F92" s="32"/>
      <c r="G92" s="32"/>
      <c r="H92" s="84"/>
      <c r="I92" s="84"/>
      <c r="J92" s="84"/>
      <c r="K92" s="84"/>
      <c r="L92" s="84"/>
      <c r="M92" s="84"/>
      <c r="N92" s="18"/>
      <c r="P92" s="387">
        <f t="shared" si="3"/>
        <v>0</v>
      </c>
      <c r="Q92" s="315" t="e">
        <f t="shared" si="2"/>
        <v>#DIV/0!</v>
      </c>
    </row>
    <row r="93" spans="2:17" ht="15">
      <c r="B93" s="32" t="s">
        <v>692</v>
      </c>
      <c r="C93" s="32"/>
      <c r="D93" s="32"/>
      <c r="E93" s="32"/>
      <c r="F93" s="32"/>
      <c r="G93" s="32"/>
      <c r="H93" s="84">
        <v>100000</v>
      </c>
      <c r="I93" s="84"/>
      <c r="J93" s="84"/>
      <c r="K93" s="84"/>
      <c r="L93" s="84"/>
      <c r="M93" s="84"/>
      <c r="N93" s="18"/>
      <c r="P93" s="387">
        <f t="shared" si="3"/>
        <v>100000</v>
      </c>
      <c r="Q93" s="315" t="e">
        <f t="shared" si="2"/>
        <v>#DIV/0!</v>
      </c>
    </row>
    <row r="94" spans="2:17" ht="15">
      <c r="B94" s="32" t="s">
        <v>343</v>
      </c>
      <c r="C94" s="32"/>
      <c r="D94" s="32"/>
      <c r="E94" s="32"/>
      <c r="F94" s="32"/>
      <c r="G94" s="32"/>
      <c r="H94" s="84">
        <v>48201.48</v>
      </c>
      <c r="I94" s="84">
        <v>364354.46</v>
      </c>
      <c r="J94" s="84">
        <v>215994.2</v>
      </c>
      <c r="K94" s="84">
        <v>549356.55</v>
      </c>
      <c r="L94" s="84">
        <v>687327.45</v>
      </c>
      <c r="M94" s="84">
        <v>99151.28</v>
      </c>
      <c r="N94" s="18">
        <v>166010</v>
      </c>
      <c r="P94" s="387">
        <f t="shared" si="3"/>
        <v>-316152.98000000004</v>
      </c>
      <c r="Q94" s="315">
        <f t="shared" si="2"/>
        <v>-0.8677071772361453</v>
      </c>
    </row>
    <row r="95" spans="2:17" ht="33" customHeight="1" hidden="1">
      <c r="B95" s="32" t="s">
        <v>344</v>
      </c>
      <c r="C95" s="32"/>
      <c r="D95" s="32"/>
      <c r="E95" s="32"/>
      <c r="F95" s="32"/>
      <c r="G95" s="32"/>
      <c r="H95" s="84"/>
      <c r="I95" s="84"/>
      <c r="J95" s="84"/>
      <c r="K95" s="84"/>
      <c r="L95" s="84"/>
      <c r="M95" s="84"/>
      <c r="N95" s="18"/>
      <c r="P95" s="387">
        <f t="shared" si="3"/>
        <v>0</v>
      </c>
      <c r="Q95" s="315" t="e">
        <f t="shared" si="2"/>
        <v>#DIV/0!</v>
      </c>
    </row>
    <row r="96" spans="2:17" ht="15" hidden="1">
      <c r="B96" s="32" t="s">
        <v>345</v>
      </c>
      <c r="C96" s="32"/>
      <c r="D96" s="32"/>
      <c r="E96" s="32"/>
      <c r="F96" s="32"/>
      <c r="G96" s="32"/>
      <c r="H96" s="84"/>
      <c r="I96" s="84"/>
      <c r="J96" s="84"/>
      <c r="K96" s="84"/>
      <c r="L96" s="84"/>
      <c r="M96" s="84"/>
      <c r="N96" s="18"/>
      <c r="P96" s="387">
        <f t="shared" si="3"/>
        <v>0</v>
      </c>
      <c r="Q96" s="315" t="e">
        <f t="shared" si="2"/>
        <v>#DIV/0!</v>
      </c>
    </row>
    <row r="97" spans="2:17" ht="15" hidden="1">
      <c r="B97" s="32" t="s">
        <v>346</v>
      </c>
      <c r="C97" s="32"/>
      <c r="D97" s="32"/>
      <c r="E97" s="32"/>
      <c r="F97" s="32"/>
      <c r="G97" s="32"/>
      <c r="H97" s="84"/>
      <c r="I97" s="84"/>
      <c r="J97" s="84"/>
      <c r="K97" s="84"/>
      <c r="L97" s="84"/>
      <c r="M97" s="84"/>
      <c r="N97" s="18"/>
      <c r="P97" s="387">
        <f t="shared" si="3"/>
        <v>0</v>
      </c>
      <c r="Q97" s="315" t="e">
        <f t="shared" si="2"/>
        <v>#DIV/0!</v>
      </c>
    </row>
    <row r="98" spans="2:17" ht="15">
      <c r="B98" s="32" t="s">
        <v>347</v>
      </c>
      <c r="C98" s="32"/>
      <c r="D98" s="32"/>
      <c r="E98" s="32"/>
      <c r="F98" s="32"/>
      <c r="G98" s="32"/>
      <c r="H98" s="84">
        <v>12272</v>
      </c>
      <c r="I98" s="84"/>
      <c r="J98" s="84"/>
      <c r="K98" s="84"/>
      <c r="L98" s="84"/>
      <c r="M98" s="84"/>
      <c r="N98" s="18"/>
      <c r="P98" s="387">
        <f t="shared" si="3"/>
        <v>12272</v>
      </c>
      <c r="Q98" s="315" t="e">
        <f t="shared" si="2"/>
        <v>#DIV/0!</v>
      </c>
    </row>
    <row r="99" spans="2:17" ht="15">
      <c r="B99" s="32" t="s">
        <v>582</v>
      </c>
      <c r="C99" s="32"/>
      <c r="D99" s="32"/>
      <c r="E99" s="32"/>
      <c r="F99" s="32"/>
      <c r="G99" s="32"/>
      <c r="H99" s="84">
        <f>11759.1+322726.18</f>
        <v>334485.27999999997</v>
      </c>
      <c r="I99" s="84">
        <f>58510.1+23545.44</f>
        <v>82055.54</v>
      </c>
      <c r="J99" s="84">
        <f>466652.2+13500</f>
        <v>480152.2</v>
      </c>
      <c r="K99" s="84">
        <f>4160.23+74812.51+20700.94+16631.8</f>
        <v>116305.48</v>
      </c>
      <c r="L99" s="84">
        <v>11371</v>
      </c>
      <c r="M99" s="84">
        <f>16600+100065.83</f>
        <v>116665.83</v>
      </c>
      <c r="N99" s="18">
        <f>91102.2+12400</f>
        <v>103502.2</v>
      </c>
      <c r="P99" s="387">
        <f t="shared" si="3"/>
        <v>252429.74</v>
      </c>
      <c r="Q99" s="315">
        <f t="shared" si="2"/>
        <v>3.076327814063499</v>
      </c>
    </row>
    <row r="100" spans="2:17" ht="15" hidden="1">
      <c r="B100" s="32" t="s">
        <v>350</v>
      </c>
      <c r="C100" s="32"/>
      <c r="D100" s="32"/>
      <c r="E100" s="32"/>
      <c r="F100" s="32"/>
      <c r="G100" s="32"/>
      <c r="H100" s="84"/>
      <c r="I100" s="84"/>
      <c r="J100" s="84"/>
      <c r="K100" s="84">
        <v>3000</v>
      </c>
      <c r="L100" s="84"/>
      <c r="M100" s="84">
        <v>0</v>
      </c>
      <c r="N100" s="18"/>
      <c r="P100" s="387">
        <f t="shared" si="3"/>
        <v>0</v>
      </c>
      <c r="Q100" s="315" t="e">
        <f t="shared" si="2"/>
        <v>#DIV/0!</v>
      </c>
    </row>
    <row r="101" spans="2:17" ht="15">
      <c r="B101" s="32" t="s">
        <v>531</v>
      </c>
      <c r="C101" s="32"/>
      <c r="D101" s="32"/>
      <c r="E101" s="32"/>
      <c r="F101" s="32"/>
      <c r="G101" s="32"/>
      <c r="H101" s="84">
        <v>3238159.21</v>
      </c>
      <c r="I101" s="84">
        <v>4310483.68</v>
      </c>
      <c r="J101" s="84">
        <v>3581030.06</v>
      </c>
      <c r="K101" s="84">
        <v>5725403.17</v>
      </c>
      <c r="L101" s="84"/>
      <c r="M101" s="84">
        <v>1789057.44</v>
      </c>
      <c r="N101" s="18"/>
      <c r="P101" s="387">
        <f t="shared" si="3"/>
        <v>-1072324.4699999997</v>
      </c>
      <c r="Q101" s="315">
        <f t="shared" si="2"/>
        <v>-0.24877126318223292</v>
      </c>
    </row>
    <row r="102" spans="2:17" ht="15" hidden="1">
      <c r="B102" s="32"/>
      <c r="C102" s="32"/>
      <c r="D102" s="32"/>
      <c r="E102" s="32"/>
      <c r="F102" s="32"/>
      <c r="G102" s="32"/>
      <c r="H102" s="84"/>
      <c r="I102" s="84"/>
      <c r="J102" s="84"/>
      <c r="K102" s="84"/>
      <c r="L102" s="84"/>
      <c r="M102" s="84"/>
      <c r="N102" s="18"/>
      <c r="P102" s="387">
        <f t="shared" si="3"/>
        <v>0</v>
      </c>
      <c r="Q102" s="315" t="e">
        <f t="shared" si="2"/>
        <v>#DIV/0!</v>
      </c>
    </row>
    <row r="103" spans="2:17" ht="15" hidden="1">
      <c r="B103" s="32"/>
      <c r="C103" s="32"/>
      <c r="D103" s="32"/>
      <c r="E103" s="32"/>
      <c r="F103" s="32"/>
      <c r="G103" s="32"/>
      <c r="H103" s="84"/>
      <c r="I103" s="84"/>
      <c r="J103" s="84"/>
      <c r="K103" s="84"/>
      <c r="L103" s="84"/>
      <c r="M103" s="84"/>
      <c r="N103" s="18"/>
      <c r="P103" s="387">
        <f t="shared" si="3"/>
        <v>0</v>
      </c>
      <c r="Q103" s="315" t="e">
        <f t="shared" si="2"/>
        <v>#DIV/0!</v>
      </c>
    </row>
    <row r="104" spans="2:17" ht="15" hidden="1">
      <c r="B104" s="32"/>
      <c r="C104" s="32"/>
      <c r="D104" s="32"/>
      <c r="E104" s="32"/>
      <c r="F104" s="32"/>
      <c r="G104" s="32"/>
      <c r="H104" s="84"/>
      <c r="I104" s="84"/>
      <c r="J104" s="84"/>
      <c r="K104" s="84"/>
      <c r="L104" s="84"/>
      <c r="M104" s="84"/>
      <c r="N104" s="18"/>
      <c r="P104" s="387">
        <f t="shared" si="3"/>
        <v>0</v>
      </c>
      <c r="Q104" s="315" t="e">
        <f t="shared" si="2"/>
        <v>#DIV/0!</v>
      </c>
    </row>
    <row r="105" spans="2:17" ht="15" hidden="1">
      <c r="B105" s="32"/>
      <c r="C105" s="32"/>
      <c r="D105" s="32"/>
      <c r="E105" s="32"/>
      <c r="F105" s="32"/>
      <c r="G105" s="32"/>
      <c r="H105" s="84"/>
      <c r="I105" s="84"/>
      <c r="J105" s="84"/>
      <c r="K105" s="84"/>
      <c r="L105" s="84"/>
      <c r="M105" s="84"/>
      <c r="N105" s="18"/>
      <c r="P105" s="387">
        <f t="shared" si="3"/>
        <v>0</v>
      </c>
      <c r="Q105" s="315" t="e">
        <f t="shared" si="2"/>
        <v>#DIV/0!</v>
      </c>
    </row>
    <row r="106" spans="2:17" ht="15" hidden="1">
      <c r="B106" s="32"/>
      <c r="C106" s="32"/>
      <c r="D106" s="32"/>
      <c r="E106" s="32"/>
      <c r="F106" s="32"/>
      <c r="G106" s="32"/>
      <c r="H106" s="84"/>
      <c r="I106" s="84"/>
      <c r="J106" s="84"/>
      <c r="K106" s="84"/>
      <c r="L106" s="84"/>
      <c r="M106" s="84"/>
      <c r="N106" s="18"/>
      <c r="P106" s="387">
        <f t="shared" si="3"/>
        <v>0</v>
      </c>
      <c r="Q106" s="315" t="e">
        <f t="shared" si="2"/>
        <v>#DIV/0!</v>
      </c>
    </row>
    <row r="107" spans="2:17" ht="15" hidden="1">
      <c r="B107" s="32"/>
      <c r="C107" s="32"/>
      <c r="D107" s="32"/>
      <c r="E107" s="32"/>
      <c r="F107" s="32"/>
      <c r="G107" s="32"/>
      <c r="H107" s="84"/>
      <c r="I107" s="84"/>
      <c r="J107" s="84"/>
      <c r="K107" s="84"/>
      <c r="L107" s="84"/>
      <c r="M107" s="84"/>
      <c r="N107" s="18"/>
      <c r="P107" s="387">
        <f t="shared" si="3"/>
        <v>0</v>
      </c>
      <c r="Q107" s="315" t="e">
        <f t="shared" si="2"/>
        <v>#DIV/0!</v>
      </c>
    </row>
    <row r="108" spans="2:17" ht="15" hidden="1">
      <c r="B108" s="32"/>
      <c r="C108" s="32"/>
      <c r="D108" s="32"/>
      <c r="E108" s="32"/>
      <c r="F108" s="32"/>
      <c r="G108" s="32"/>
      <c r="H108" s="84"/>
      <c r="I108" s="84"/>
      <c r="J108" s="84"/>
      <c r="K108" s="84"/>
      <c r="L108" s="84"/>
      <c r="M108" s="84"/>
      <c r="N108" s="18"/>
      <c r="P108" s="387">
        <f t="shared" si="3"/>
        <v>0</v>
      </c>
      <c r="Q108" s="315" t="e">
        <f t="shared" si="2"/>
        <v>#DIV/0!</v>
      </c>
    </row>
    <row r="109" spans="2:17" ht="15">
      <c r="B109" s="32" t="s">
        <v>532</v>
      </c>
      <c r="C109" s="32"/>
      <c r="D109" s="32"/>
      <c r="E109" s="32"/>
      <c r="F109" s="32"/>
      <c r="G109" s="32"/>
      <c r="H109" s="84">
        <v>6159.6</v>
      </c>
      <c r="I109" s="84">
        <v>211450</v>
      </c>
      <c r="J109" s="84">
        <v>932299.3</v>
      </c>
      <c r="K109" s="84">
        <v>541015.61</v>
      </c>
      <c r="L109" s="84">
        <v>764830.6</v>
      </c>
      <c r="M109" s="84">
        <v>1091485.91</v>
      </c>
      <c r="N109" s="18">
        <v>662223.74</v>
      </c>
      <c r="P109" s="387">
        <f t="shared" si="3"/>
        <v>-205290.4</v>
      </c>
      <c r="Q109" s="315">
        <f t="shared" si="2"/>
        <v>-0.9708697091510995</v>
      </c>
    </row>
    <row r="110" spans="2:17" ht="15" hidden="1">
      <c r="B110" s="32" t="s">
        <v>348</v>
      </c>
      <c r="C110" s="32"/>
      <c r="D110" s="32"/>
      <c r="E110" s="32"/>
      <c r="F110" s="32"/>
      <c r="G110" s="32"/>
      <c r="H110" s="84"/>
      <c r="I110" s="84"/>
      <c r="J110" s="84"/>
      <c r="K110" s="84"/>
      <c r="L110" s="84"/>
      <c r="M110" s="84"/>
      <c r="N110" s="18"/>
      <c r="P110" s="387">
        <f t="shared" si="3"/>
        <v>0</v>
      </c>
      <c r="Q110" s="315" t="e">
        <f t="shared" si="2"/>
        <v>#DIV/0!</v>
      </c>
    </row>
    <row r="111" spans="2:17" ht="15" hidden="1">
      <c r="B111" s="32" t="s">
        <v>349</v>
      </c>
      <c r="C111" s="32"/>
      <c r="D111" s="32"/>
      <c r="E111" s="32"/>
      <c r="F111" s="32"/>
      <c r="G111" s="32"/>
      <c r="H111" s="84"/>
      <c r="I111" s="84"/>
      <c r="J111" s="84"/>
      <c r="K111" s="84"/>
      <c r="L111" s="84"/>
      <c r="M111" s="84"/>
      <c r="N111" s="18"/>
      <c r="P111" s="387">
        <f t="shared" si="3"/>
        <v>0</v>
      </c>
      <c r="Q111" s="315" t="e">
        <f t="shared" si="2"/>
        <v>#DIV/0!</v>
      </c>
    </row>
    <row r="112" spans="2:17" ht="15" hidden="1">
      <c r="B112" s="32" t="s">
        <v>350</v>
      </c>
      <c r="C112" s="32"/>
      <c r="D112" s="32"/>
      <c r="E112" s="32"/>
      <c r="F112" s="32"/>
      <c r="G112" s="32"/>
      <c r="H112" s="84"/>
      <c r="I112" s="84"/>
      <c r="J112" s="84"/>
      <c r="K112" s="84"/>
      <c r="L112" s="84"/>
      <c r="M112" s="84"/>
      <c r="N112" s="18"/>
      <c r="P112" s="387">
        <f t="shared" si="3"/>
        <v>0</v>
      </c>
      <c r="Q112" s="315" t="e">
        <f t="shared" si="2"/>
        <v>#DIV/0!</v>
      </c>
    </row>
    <row r="113" spans="2:17" ht="15" hidden="1">
      <c r="B113" s="32" t="s">
        <v>351</v>
      </c>
      <c r="C113" s="32"/>
      <c r="D113" s="32"/>
      <c r="E113" s="32"/>
      <c r="F113" s="32"/>
      <c r="G113" s="32"/>
      <c r="H113" s="84"/>
      <c r="I113" s="84"/>
      <c r="J113" s="84"/>
      <c r="K113" s="84"/>
      <c r="L113" s="84"/>
      <c r="M113" s="84"/>
      <c r="N113" s="18"/>
      <c r="P113" s="387">
        <f t="shared" si="3"/>
        <v>0</v>
      </c>
      <c r="Q113" s="315" t="e">
        <f t="shared" si="2"/>
        <v>#DIV/0!</v>
      </c>
    </row>
    <row r="114" spans="2:17" ht="15" hidden="1">
      <c r="B114" s="32" t="s">
        <v>352</v>
      </c>
      <c r="C114" s="32"/>
      <c r="D114" s="32"/>
      <c r="E114" s="32"/>
      <c r="F114" s="32"/>
      <c r="G114" s="32"/>
      <c r="H114" s="84"/>
      <c r="I114" s="84"/>
      <c r="J114" s="84"/>
      <c r="K114" s="84"/>
      <c r="L114" s="84"/>
      <c r="M114" s="84"/>
      <c r="N114" s="18"/>
      <c r="P114" s="387">
        <f t="shared" si="3"/>
        <v>0</v>
      </c>
      <c r="Q114" s="315" t="e">
        <f t="shared" si="2"/>
        <v>#DIV/0!</v>
      </c>
    </row>
    <row r="115" spans="2:17" ht="15" hidden="1">
      <c r="B115" s="32" t="s">
        <v>353</v>
      </c>
      <c r="C115" s="32"/>
      <c r="D115" s="32"/>
      <c r="E115" s="32"/>
      <c r="F115" s="32"/>
      <c r="G115" s="32"/>
      <c r="H115" s="84"/>
      <c r="I115" s="84"/>
      <c r="J115" s="84"/>
      <c r="K115" s="84"/>
      <c r="L115" s="84"/>
      <c r="M115" s="84"/>
      <c r="N115" s="18"/>
      <c r="P115" s="387">
        <f t="shared" si="3"/>
        <v>0</v>
      </c>
      <c r="Q115" s="315" t="e">
        <f t="shared" si="2"/>
        <v>#DIV/0!</v>
      </c>
    </row>
    <row r="116" spans="2:17" ht="15" hidden="1">
      <c r="B116" s="32" t="s">
        <v>354</v>
      </c>
      <c r="C116" s="32"/>
      <c r="D116" s="32"/>
      <c r="E116" s="32"/>
      <c r="F116" s="32"/>
      <c r="G116" s="32"/>
      <c r="H116" s="84"/>
      <c r="I116" s="84"/>
      <c r="J116" s="84"/>
      <c r="K116" s="84"/>
      <c r="L116" s="84">
        <v>9049.51</v>
      </c>
      <c r="M116" s="84"/>
      <c r="N116" s="18">
        <v>1336.18</v>
      </c>
      <c r="P116" s="387">
        <f t="shared" si="3"/>
        <v>0</v>
      </c>
      <c r="Q116" s="315" t="e">
        <f t="shared" si="2"/>
        <v>#DIV/0!</v>
      </c>
    </row>
    <row r="117" spans="2:17" ht="15" hidden="1">
      <c r="B117" s="32" t="s">
        <v>355</v>
      </c>
      <c r="C117" s="32"/>
      <c r="D117" s="32"/>
      <c r="E117" s="32"/>
      <c r="F117" s="32"/>
      <c r="G117" s="32"/>
      <c r="H117" s="84"/>
      <c r="I117" s="84"/>
      <c r="J117" s="84"/>
      <c r="K117" s="84"/>
      <c r="L117" s="84"/>
      <c r="M117" s="84"/>
      <c r="N117" s="18"/>
      <c r="P117" s="387">
        <f t="shared" si="3"/>
        <v>0</v>
      </c>
      <c r="Q117" s="315" t="e">
        <f t="shared" si="2"/>
        <v>#DIV/0!</v>
      </c>
    </row>
    <row r="118" spans="2:17" ht="15" hidden="1">
      <c r="B118" s="32" t="s">
        <v>356</v>
      </c>
      <c r="C118" s="32"/>
      <c r="D118" s="32"/>
      <c r="E118" s="32"/>
      <c r="F118" s="32"/>
      <c r="G118" s="32"/>
      <c r="H118" s="84"/>
      <c r="I118" s="84"/>
      <c r="J118" s="84">
        <f>2540.01+235.2</f>
        <v>2775.21</v>
      </c>
      <c r="K118" s="84"/>
      <c r="L118" s="84"/>
      <c r="M118" s="84"/>
      <c r="N118" s="18"/>
      <c r="P118" s="387">
        <f t="shared" si="3"/>
        <v>0</v>
      </c>
      <c r="Q118" s="315" t="e">
        <f t="shared" si="2"/>
        <v>#DIV/0!</v>
      </c>
    </row>
    <row r="119" spans="2:17" ht="15" hidden="1">
      <c r="B119" s="32" t="s">
        <v>356</v>
      </c>
      <c r="C119" s="32"/>
      <c r="D119" s="32"/>
      <c r="E119" s="32"/>
      <c r="F119" s="32"/>
      <c r="G119" s="32"/>
      <c r="H119" s="84"/>
      <c r="I119" s="84"/>
      <c r="J119" s="84"/>
      <c r="K119" s="84"/>
      <c r="L119" s="84"/>
      <c r="M119" s="84"/>
      <c r="N119" s="18"/>
      <c r="P119" s="387">
        <f t="shared" si="3"/>
        <v>0</v>
      </c>
      <c r="Q119" s="315" t="e">
        <f aca="true" t="shared" si="5" ref="Q119:Q134">+P119/I119</f>
        <v>#DIV/0!</v>
      </c>
    </row>
    <row r="120" spans="2:17" ht="15">
      <c r="B120" s="32" t="s">
        <v>584</v>
      </c>
      <c r="C120" s="32"/>
      <c r="D120" s="32"/>
      <c r="E120" s="32"/>
      <c r="F120" s="32"/>
      <c r="G120" s="32"/>
      <c r="H120" s="84">
        <v>9964609.94</v>
      </c>
      <c r="I120" s="84">
        <v>8082337.51</v>
      </c>
      <c r="J120" s="84">
        <v>6118514.95</v>
      </c>
      <c r="K120" s="84">
        <f>4355546.44+454.5</f>
        <v>4356000.94</v>
      </c>
      <c r="L120" s="84">
        <v>3624810.77</v>
      </c>
      <c r="M120" s="84">
        <v>2393263.55</v>
      </c>
      <c r="N120" s="18">
        <v>2660529.69</v>
      </c>
      <c r="P120" s="387">
        <f>+H120-I120</f>
        <v>1882272.4299999997</v>
      </c>
      <c r="Q120" s="315">
        <f t="shared" si="5"/>
        <v>0.23288713539506714</v>
      </c>
    </row>
    <row r="121" spans="2:17" ht="15">
      <c r="B121" s="32" t="s">
        <v>585</v>
      </c>
      <c r="C121" s="32"/>
      <c r="D121" s="32"/>
      <c r="E121" s="32"/>
      <c r="F121" s="32"/>
      <c r="G121" s="32"/>
      <c r="H121" s="84">
        <v>100466.91</v>
      </c>
      <c r="I121" s="84">
        <v>96720.99</v>
      </c>
      <c r="J121" s="84">
        <v>181877.69</v>
      </c>
      <c r="K121" s="84">
        <v>158892.5</v>
      </c>
      <c r="L121" s="84">
        <v>90816.4</v>
      </c>
      <c r="M121" s="84">
        <v>132033.15</v>
      </c>
      <c r="N121" s="18">
        <v>156522.43</v>
      </c>
      <c r="P121" s="387">
        <f t="shared" si="3"/>
        <v>3745.9199999999983</v>
      </c>
      <c r="Q121" s="315">
        <f t="shared" si="5"/>
        <v>0.03872913211496282</v>
      </c>
    </row>
    <row r="122" spans="2:17" ht="15">
      <c r="B122" s="32" t="s">
        <v>663</v>
      </c>
      <c r="C122" s="32"/>
      <c r="D122" s="32"/>
      <c r="E122" s="32"/>
      <c r="F122" s="32"/>
      <c r="G122" s="32"/>
      <c r="H122" s="84"/>
      <c r="I122" s="84">
        <v>6959.29</v>
      </c>
      <c r="J122" s="84"/>
      <c r="K122" s="84"/>
      <c r="L122" s="84"/>
      <c r="M122" s="84"/>
      <c r="N122" s="18"/>
      <c r="P122" s="387">
        <f t="shared" si="3"/>
        <v>-6959.29</v>
      </c>
      <c r="Q122" s="315">
        <f t="shared" si="5"/>
        <v>-1</v>
      </c>
    </row>
    <row r="123" spans="2:17" ht="15">
      <c r="B123" s="32" t="s">
        <v>583</v>
      </c>
      <c r="C123" s="32"/>
      <c r="D123" s="32"/>
      <c r="E123" s="32"/>
      <c r="F123" s="32"/>
      <c r="G123" s="32"/>
      <c r="H123" s="84">
        <v>11054.26</v>
      </c>
      <c r="I123" s="84">
        <v>5825.04</v>
      </c>
      <c r="J123" s="84">
        <v>8553.14</v>
      </c>
      <c r="K123" s="84">
        <v>10150.62</v>
      </c>
      <c r="L123" s="84"/>
      <c r="M123" s="84">
        <v>8320.66</v>
      </c>
      <c r="N123" s="18">
        <v>78671.71</v>
      </c>
      <c r="P123" s="387">
        <f t="shared" si="3"/>
        <v>5229.22</v>
      </c>
      <c r="Q123" s="315">
        <f t="shared" si="5"/>
        <v>0.8977140071141143</v>
      </c>
    </row>
    <row r="124" spans="2:17" ht="15" hidden="1">
      <c r="B124" s="32" t="s">
        <v>518</v>
      </c>
      <c r="C124" s="32"/>
      <c r="D124" s="32"/>
      <c r="E124" s="32"/>
      <c r="F124" s="32"/>
      <c r="G124" s="32"/>
      <c r="H124" s="84"/>
      <c r="I124" s="84"/>
      <c r="J124" s="84">
        <f>44616.67-594.37</f>
        <v>44022.299999999996</v>
      </c>
      <c r="K124" s="84">
        <f>955061.43+29775+17265</f>
        <v>1002101.43</v>
      </c>
      <c r="L124" s="84"/>
      <c r="M124" s="84">
        <v>2193887.36</v>
      </c>
      <c r="N124" s="18">
        <v>1539170.81</v>
      </c>
      <c r="P124" s="387">
        <f t="shared" si="3"/>
        <v>0</v>
      </c>
      <c r="Q124" s="315" t="e">
        <f t="shared" si="5"/>
        <v>#DIV/0!</v>
      </c>
    </row>
    <row r="125" spans="2:20" s="5" customFormat="1" ht="15">
      <c r="B125" s="32" t="s">
        <v>693</v>
      </c>
      <c r="C125" s="32"/>
      <c r="D125" s="32"/>
      <c r="E125" s="32"/>
      <c r="F125" s="32"/>
      <c r="G125" s="32"/>
      <c r="H125" s="84">
        <v>500</v>
      </c>
      <c r="I125" s="84"/>
      <c r="J125" s="84"/>
      <c r="K125" s="84"/>
      <c r="L125" s="84"/>
      <c r="M125" s="84"/>
      <c r="N125" s="18"/>
      <c r="P125" s="387"/>
      <c r="Q125" s="315"/>
      <c r="R125" s="216"/>
      <c r="S125" s="216"/>
      <c r="T125" s="216"/>
    </row>
    <row r="126" spans="2:17" ht="15">
      <c r="B126" s="32" t="s">
        <v>581</v>
      </c>
      <c r="C126" s="32"/>
      <c r="D126" s="32"/>
      <c r="E126" s="32"/>
      <c r="F126" s="32"/>
      <c r="G126" s="32"/>
      <c r="H126" s="84">
        <f>4166.84-1.91</f>
        <v>4164.93</v>
      </c>
      <c r="I126" s="84">
        <f>8136.85+2.67</f>
        <v>8139.52</v>
      </c>
      <c r="J126" s="84">
        <v>15627.87</v>
      </c>
      <c r="K126" s="84">
        <f>8356.01+2.03</f>
        <v>8358.04</v>
      </c>
      <c r="L126" s="84">
        <f>52869.79-10976</f>
        <v>41893.79</v>
      </c>
      <c r="M126" s="84">
        <v>4659.98</v>
      </c>
      <c r="N126" s="18">
        <v>43070.83</v>
      </c>
      <c r="P126" s="387">
        <f t="shared" si="3"/>
        <v>-3974.59</v>
      </c>
      <c r="Q126" s="315">
        <f t="shared" si="5"/>
        <v>-0.4883076643340148</v>
      </c>
    </row>
    <row r="127" spans="2:17" ht="15" hidden="1">
      <c r="B127" s="32" t="s">
        <v>358</v>
      </c>
      <c r="C127" s="32"/>
      <c r="D127" s="32"/>
      <c r="E127" s="32"/>
      <c r="F127" s="32"/>
      <c r="G127" s="32"/>
      <c r="H127" s="84"/>
      <c r="I127" s="84"/>
      <c r="J127" s="84"/>
      <c r="K127" s="84"/>
      <c r="L127" s="84">
        <v>5000</v>
      </c>
      <c r="M127" s="84"/>
      <c r="N127" s="18"/>
      <c r="P127" s="387">
        <f t="shared" si="3"/>
        <v>0</v>
      </c>
      <c r="Q127" s="315" t="e">
        <f t="shared" si="5"/>
        <v>#DIV/0!</v>
      </c>
    </row>
    <row r="128" spans="2:17" ht="15" hidden="1">
      <c r="B128" s="32" t="s">
        <v>359</v>
      </c>
      <c r="C128" s="32"/>
      <c r="D128" s="32"/>
      <c r="E128" s="32"/>
      <c r="F128" s="32"/>
      <c r="G128" s="32"/>
      <c r="H128" s="84"/>
      <c r="I128" s="84"/>
      <c r="J128" s="84"/>
      <c r="K128" s="84"/>
      <c r="L128" s="84"/>
      <c r="M128" s="84"/>
      <c r="N128" s="18"/>
      <c r="P128" s="387">
        <f t="shared" si="3"/>
        <v>0</v>
      </c>
      <c r="Q128" s="315" t="e">
        <f t="shared" si="5"/>
        <v>#DIV/0!</v>
      </c>
    </row>
    <row r="129" spans="2:17" ht="15" hidden="1">
      <c r="B129" s="32" t="s">
        <v>357</v>
      </c>
      <c r="C129" s="32"/>
      <c r="D129" s="32"/>
      <c r="E129" s="32"/>
      <c r="F129" s="32"/>
      <c r="G129" s="32"/>
      <c r="H129" s="84"/>
      <c r="I129" s="84"/>
      <c r="J129" s="84"/>
      <c r="K129" s="84"/>
      <c r="L129" s="84"/>
      <c r="M129" s="84"/>
      <c r="N129" s="18"/>
      <c r="P129" s="387">
        <f t="shared" si="3"/>
        <v>0</v>
      </c>
      <c r="Q129" s="315" t="e">
        <f t="shared" si="5"/>
        <v>#DIV/0!</v>
      </c>
    </row>
    <row r="130" spans="2:17" ht="15" hidden="1">
      <c r="B130" s="32" t="s">
        <v>517</v>
      </c>
      <c r="C130" s="32"/>
      <c r="D130" s="32"/>
      <c r="E130" s="32"/>
      <c r="F130" s="32"/>
      <c r="G130" s="32"/>
      <c r="H130" s="84"/>
      <c r="I130" s="84"/>
      <c r="J130" s="84"/>
      <c r="K130" s="84"/>
      <c r="L130" s="84"/>
      <c r="M130" s="84"/>
      <c r="N130" s="18">
        <v>198197.15</v>
      </c>
      <c r="P130" s="387">
        <f t="shared" si="3"/>
        <v>0</v>
      </c>
      <c r="Q130" s="315" t="e">
        <f t="shared" si="5"/>
        <v>#DIV/0!</v>
      </c>
    </row>
    <row r="131" spans="2:17" ht="15" hidden="1">
      <c r="B131" s="32" t="s">
        <v>519</v>
      </c>
      <c r="C131" s="32"/>
      <c r="D131" s="32"/>
      <c r="E131" s="32"/>
      <c r="F131" s="32"/>
      <c r="G131" s="32"/>
      <c r="H131" s="84"/>
      <c r="I131" s="84"/>
      <c r="J131" s="84"/>
      <c r="K131" s="84"/>
      <c r="L131" s="84"/>
      <c r="M131" s="84"/>
      <c r="N131" s="18">
        <v>2064.48</v>
      </c>
      <c r="P131" s="387">
        <f t="shared" si="3"/>
        <v>0</v>
      </c>
      <c r="Q131" s="315" t="e">
        <f t="shared" si="5"/>
        <v>#DIV/0!</v>
      </c>
    </row>
    <row r="132" spans="2:17" ht="15">
      <c r="B132" s="32" t="s">
        <v>360</v>
      </c>
      <c r="C132" s="32"/>
      <c r="D132" s="32"/>
      <c r="E132" s="32"/>
      <c r="F132" s="32"/>
      <c r="G132" s="32"/>
      <c r="H132" s="84">
        <v>244917.5</v>
      </c>
      <c r="I132" s="84">
        <v>1672583.03</v>
      </c>
      <c r="J132" s="97">
        <v>4591447.89</v>
      </c>
      <c r="K132" s="97">
        <v>6277159.18</v>
      </c>
      <c r="L132" s="85">
        <v>3541851.49</v>
      </c>
      <c r="M132" s="85">
        <v>4456022.84</v>
      </c>
      <c r="N132" s="36">
        <v>4068227.43</v>
      </c>
      <c r="P132" s="387">
        <f t="shared" si="3"/>
        <v>-1427665.53</v>
      </c>
      <c r="Q132" s="315">
        <f t="shared" si="5"/>
        <v>-0.8535693023263544</v>
      </c>
    </row>
    <row r="133" spans="1:17" ht="15">
      <c r="A133" s="96"/>
      <c r="B133" s="32" t="s">
        <v>612</v>
      </c>
      <c r="C133" s="32"/>
      <c r="D133" s="32"/>
      <c r="E133" s="32"/>
      <c r="F133" s="32"/>
      <c r="G133" s="32"/>
      <c r="H133" s="84">
        <v>1131134.51</v>
      </c>
      <c r="I133" s="85">
        <v>1253702.77</v>
      </c>
      <c r="J133" s="85">
        <v>342042.64</v>
      </c>
      <c r="K133" s="87"/>
      <c r="L133" s="14"/>
      <c r="M133" s="14"/>
      <c r="N133" s="18"/>
      <c r="P133" s="387">
        <f t="shared" si="3"/>
        <v>-122568.26000000001</v>
      </c>
      <c r="Q133" s="315">
        <f t="shared" si="5"/>
        <v>-0.09776500693222526</v>
      </c>
    </row>
    <row r="134" spans="2:17" ht="16.5" thickBot="1">
      <c r="B134" s="34" t="s">
        <v>305</v>
      </c>
      <c r="C134" s="32"/>
      <c r="D134" s="32"/>
      <c r="E134" s="32"/>
      <c r="F134" s="32"/>
      <c r="G134" s="32"/>
      <c r="H134" s="86">
        <f>SUM(H54:H133)</f>
        <v>64390613.61999999</v>
      </c>
      <c r="I134" s="86">
        <f>SUM(I54:I133)</f>
        <v>55752390.46000001</v>
      </c>
      <c r="J134" s="86">
        <f>SUM(J54:J133)</f>
        <v>55331099.33000001</v>
      </c>
      <c r="K134" s="86">
        <f>SUM(K54:K132)</f>
        <v>58782403.309999995</v>
      </c>
      <c r="L134" s="37">
        <f>SUM(L52:L133)</f>
        <v>44516713.440000005</v>
      </c>
      <c r="M134" s="50">
        <f>SUM(M54:M132)</f>
        <v>49741260.52999999</v>
      </c>
      <c r="N134" s="37">
        <f>SUM(N52:N133)</f>
        <v>47797008.29000001</v>
      </c>
      <c r="P134" s="387">
        <f t="shared" si="3"/>
        <v>8638223.159999982</v>
      </c>
      <c r="Q134" s="315">
        <f t="shared" si="5"/>
        <v>0.1549390633967084</v>
      </c>
    </row>
    <row r="135" spans="2:17" ht="15.75" thickTop="1">
      <c r="B135" s="32"/>
      <c r="C135" s="32"/>
      <c r="D135" s="32"/>
      <c r="E135" s="32"/>
      <c r="F135" s="32"/>
      <c r="G135" s="32"/>
      <c r="H135" s="32"/>
      <c r="I135" s="32"/>
      <c r="J135" s="32"/>
      <c r="K135" s="32"/>
      <c r="L135" s="18"/>
      <c r="M135" s="18"/>
      <c r="N135" s="18"/>
      <c r="Q135" s="315"/>
    </row>
    <row r="136" spans="1:20" s="5" customFormat="1" ht="15">
      <c r="A136" s="96" t="s">
        <v>97</v>
      </c>
      <c r="B136" s="32" t="s">
        <v>694</v>
      </c>
      <c r="C136" s="32"/>
      <c r="D136" s="32"/>
      <c r="E136" s="32"/>
      <c r="F136" s="32"/>
      <c r="G136" s="32"/>
      <c r="H136" s="32"/>
      <c r="I136" s="32"/>
      <c r="J136" s="32"/>
      <c r="K136" s="32"/>
      <c r="L136" s="18"/>
      <c r="M136" s="18"/>
      <c r="N136" s="18"/>
      <c r="P136" s="216"/>
      <c r="Q136" s="216"/>
      <c r="R136" s="216"/>
      <c r="S136" s="216"/>
      <c r="T136" s="216"/>
    </row>
    <row r="137" spans="1:20" s="5" customFormat="1" ht="15">
      <c r="A137" s="96"/>
      <c r="B137" s="32" t="s">
        <v>691</v>
      </c>
      <c r="C137" s="32"/>
      <c r="D137" s="32"/>
      <c r="E137" s="32"/>
      <c r="F137" s="32"/>
      <c r="G137" s="32"/>
      <c r="H137" s="32"/>
      <c r="I137" s="32"/>
      <c r="J137" s="32"/>
      <c r="K137" s="32"/>
      <c r="L137" s="18"/>
      <c r="M137" s="18"/>
      <c r="N137" s="18"/>
      <c r="P137" s="216"/>
      <c r="Q137" s="216"/>
      <c r="R137" s="216"/>
      <c r="S137" s="216"/>
      <c r="T137" s="216"/>
    </row>
    <row r="138" spans="2:13" ht="15">
      <c r="B138" s="32"/>
      <c r="C138" s="32"/>
      <c r="D138" s="32"/>
      <c r="E138" s="32"/>
      <c r="F138" s="32"/>
      <c r="G138" s="32"/>
      <c r="H138" s="32"/>
      <c r="I138" s="32"/>
      <c r="J138" s="32"/>
      <c r="K138" s="32"/>
      <c r="L138" s="18"/>
      <c r="M138" s="18"/>
    </row>
    <row r="139" spans="2:13" ht="15">
      <c r="B139" s="32"/>
      <c r="C139" s="32"/>
      <c r="D139" s="32"/>
      <c r="E139" s="32"/>
      <c r="F139" s="32"/>
      <c r="G139" s="32"/>
      <c r="H139" s="32"/>
      <c r="I139" s="32"/>
      <c r="J139" s="32"/>
      <c r="K139" s="32"/>
      <c r="L139" s="18"/>
      <c r="M139" s="18"/>
    </row>
    <row r="140" spans="2:13" ht="15.75">
      <c r="B140" s="34" t="s">
        <v>604</v>
      </c>
      <c r="C140" s="32"/>
      <c r="D140" s="32"/>
      <c r="E140" s="32"/>
      <c r="F140" s="32"/>
      <c r="G140" s="32"/>
      <c r="H140" s="32"/>
      <c r="I140" s="32"/>
      <c r="J140" s="32"/>
      <c r="K140" s="32"/>
      <c r="L140" s="18"/>
      <c r="M140" s="18"/>
    </row>
    <row r="141" spans="2:14" ht="18.75">
      <c r="B141" s="32"/>
      <c r="C141" s="32"/>
      <c r="D141" s="32"/>
      <c r="E141" s="32"/>
      <c r="F141" s="32"/>
      <c r="G141" s="32"/>
      <c r="H141" s="63" t="s">
        <v>505</v>
      </c>
      <c r="I141" s="63" t="s">
        <v>505</v>
      </c>
      <c r="J141" s="63" t="s">
        <v>505</v>
      </c>
      <c r="K141" s="500" t="s">
        <v>535</v>
      </c>
      <c r="L141" s="500"/>
      <c r="M141" s="498" t="s">
        <v>535</v>
      </c>
      <c r="N141" s="498"/>
    </row>
    <row r="142" spans="2:14" ht="18.75">
      <c r="B142" s="32"/>
      <c r="C142" s="32"/>
      <c r="D142" s="32"/>
      <c r="E142" s="32"/>
      <c r="F142" s="32"/>
      <c r="G142" s="32"/>
      <c r="H142" s="33">
        <v>2021</v>
      </c>
      <c r="I142" s="33">
        <v>2020</v>
      </c>
      <c r="J142" s="33">
        <v>2019</v>
      </c>
      <c r="K142" s="33">
        <v>2018</v>
      </c>
      <c r="L142" s="33"/>
      <c r="M142" s="62">
        <v>2017</v>
      </c>
      <c r="N142" s="62">
        <v>2016</v>
      </c>
    </row>
    <row r="143" spans="2:13" ht="18.75">
      <c r="B143" s="35" t="s">
        <v>0</v>
      </c>
      <c r="C143" s="32"/>
      <c r="D143" s="32"/>
      <c r="E143" s="32"/>
      <c r="F143" s="32"/>
      <c r="G143" s="32"/>
      <c r="H143" s="32"/>
      <c r="I143" s="32"/>
      <c r="J143" s="32"/>
      <c r="K143" s="32"/>
      <c r="L143" s="18"/>
      <c r="M143" s="18"/>
    </row>
    <row r="144" spans="2:17" ht="15">
      <c r="B144" s="32" t="s">
        <v>361</v>
      </c>
      <c r="C144" s="32"/>
      <c r="D144" s="32"/>
      <c r="E144" s="32"/>
      <c r="F144" s="32"/>
      <c r="G144" s="32"/>
      <c r="H144" s="18">
        <v>13754462.72</v>
      </c>
      <c r="I144" s="18">
        <v>11263522.55</v>
      </c>
      <c r="J144" s="18">
        <v>14224921.55</v>
      </c>
      <c r="K144" s="18">
        <v>11526171.88</v>
      </c>
      <c r="L144" s="18">
        <v>13501445.45</v>
      </c>
      <c r="M144" s="18">
        <v>12741489</v>
      </c>
      <c r="N144" s="18">
        <v>11912161.35</v>
      </c>
      <c r="P144" s="387">
        <f>+H144-I144</f>
        <v>2490940.17</v>
      </c>
      <c r="Q144" s="315">
        <f>+P144/I144</f>
        <v>0.22115107941964388</v>
      </c>
    </row>
    <row r="145" spans="2:17" ht="15" hidden="1">
      <c r="B145" s="32" t="s">
        <v>362</v>
      </c>
      <c r="C145" s="32"/>
      <c r="D145" s="32"/>
      <c r="E145" s="32"/>
      <c r="F145" s="32"/>
      <c r="G145" s="32"/>
      <c r="H145" s="18"/>
      <c r="I145" s="18"/>
      <c r="J145" s="18"/>
      <c r="K145" s="18"/>
      <c r="L145" s="18"/>
      <c r="M145" s="18"/>
      <c r="N145" s="18"/>
      <c r="P145" s="387">
        <f aca="true" t="shared" si="6" ref="P145:P208">+H145-I145</f>
        <v>0</v>
      </c>
      <c r="Q145" s="216" t="e">
        <f aca="true" t="shared" si="7" ref="Q145:Q199">+P145/I145</f>
        <v>#DIV/0!</v>
      </c>
    </row>
    <row r="146" spans="2:17" ht="15" hidden="1">
      <c r="B146" s="32" t="s">
        <v>363</v>
      </c>
      <c r="C146" s="32"/>
      <c r="D146" s="32"/>
      <c r="E146" s="32"/>
      <c r="F146" s="32"/>
      <c r="G146" s="32"/>
      <c r="H146" s="18"/>
      <c r="I146" s="18"/>
      <c r="J146" s="18"/>
      <c r="K146" s="18"/>
      <c r="L146" s="18"/>
      <c r="M146" s="18"/>
      <c r="N146" s="18"/>
      <c r="P146" s="387">
        <f t="shared" si="6"/>
        <v>0</v>
      </c>
      <c r="Q146" s="216" t="e">
        <f t="shared" si="7"/>
        <v>#DIV/0!</v>
      </c>
    </row>
    <row r="147" spans="2:17" ht="15">
      <c r="B147" s="32" t="s">
        <v>364</v>
      </c>
      <c r="C147" s="32"/>
      <c r="D147" s="32"/>
      <c r="E147" s="32"/>
      <c r="F147" s="32"/>
      <c r="G147" s="32"/>
      <c r="H147" s="18">
        <v>94784.51</v>
      </c>
      <c r="I147" s="18">
        <v>84300.58</v>
      </c>
      <c r="J147" s="18">
        <v>49530.99</v>
      </c>
      <c r="K147" s="18">
        <v>197636.82</v>
      </c>
      <c r="L147" s="18">
        <v>43942.41</v>
      </c>
      <c r="M147" s="18">
        <v>79901.01</v>
      </c>
      <c r="N147" s="18">
        <v>66799.03</v>
      </c>
      <c r="P147" s="387">
        <f t="shared" si="6"/>
        <v>10483.929999999993</v>
      </c>
      <c r="Q147" s="315">
        <f>+P147/I147</f>
        <v>0.1243636757896564</v>
      </c>
    </row>
    <row r="148" spans="2:17" ht="15" hidden="1">
      <c r="B148" s="32" t="s">
        <v>365</v>
      </c>
      <c r="C148" s="32"/>
      <c r="D148" s="32"/>
      <c r="E148" s="32"/>
      <c r="F148" s="32"/>
      <c r="G148" s="32"/>
      <c r="H148" s="18"/>
      <c r="I148" s="18"/>
      <c r="J148" s="18"/>
      <c r="K148" s="18"/>
      <c r="L148" s="18"/>
      <c r="M148" s="18"/>
      <c r="N148" s="18"/>
      <c r="P148" s="387">
        <f t="shared" si="6"/>
        <v>0</v>
      </c>
      <c r="Q148" s="216" t="e">
        <f t="shared" si="7"/>
        <v>#DIV/0!</v>
      </c>
    </row>
    <row r="149" spans="2:17" ht="15" hidden="1">
      <c r="B149" s="32" t="s">
        <v>366</v>
      </c>
      <c r="C149" s="32"/>
      <c r="D149" s="32"/>
      <c r="E149" s="32"/>
      <c r="F149" s="32"/>
      <c r="G149" s="32"/>
      <c r="H149" s="18"/>
      <c r="I149" s="18"/>
      <c r="J149" s="18"/>
      <c r="K149" s="18"/>
      <c r="L149" s="18"/>
      <c r="M149" s="18"/>
      <c r="N149" s="18">
        <v>2279.6</v>
      </c>
      <c r="P149" s="387">
        <f t="shared" si="6"/>
        <v>0</v>
      </c>
      <c r="Q149" s="216" t="e">
        <f t="shared" si="7"/>
        <v>#DIV/0!</v>
      </c>
    </row>
    <row r="150" spans="2:17" ht="15" hidden="1">
      <c r="B150" s="32" t="s">
        <v>367</v>
      </c>
      <c r="C150" s="32"/>
      <c r="D150" s="32"/>
      <c r="E150" s="32"/>
      <c r="F150" s="32"/>
      <c r="G150" s="32"/>
      <c r="H150" s="18"/>
      <c r="I150" s="18"/>
      <c r="J150" s="18"/>
      <c r="K150" s="18"/>
      <c r="L150" s="18"/>
      <c r="M150" s="18"/>
      <c r="N150" s="18"/>
      <c r="P150" s="387">
        <f t="shared" si="6"/>
        <v>0</v>
      </c>
      <c r="Q150" s="216" t="e">
        <f t="shared" si="7"/>
        <v>#DIV/0!</v>
      </c>
    </row>
    <row r="151" spans="2:17" ht="15" hidden="1">
      <c r="B151" s="32" t="s">
        <v>368</v>
      </c>
      <c r="C151" s="32"/>
      <c r="D151" s="32"/>
      <c r="E151" s="32"/>
      <c r="F151" s="32"/>
      <c r="G151" s="32"/>
      <c r="H151" s="18"/>
      <c r="I151" s="18"/>
      <c r="J151" s="18"/>
      <c r="K151" s="18"/>
      <c r="L151" s="18"/>
      <c r="M151" s="18"/>
      <c r="N151" s="18"/>
      <c r="P151" s="387">
        <f t="shared" si="6"/>
        <v>0</v>
      </c>
      <c r="Q151" s="216" t="e">
        <f t="shared" si="7"/>
        <v>#DIV/0!</v>
      </c>
    </row>
    <row r="152" spans="2:17" ht="15" hidden="1">
      <c r="B152" s="32" t="s">
        <v>369</v>
      </c>
      <c r="C152" s="32"/>
      <c r="D152" s="32"/>
      <c r="E152" s="32"/>
      <c r="F152" s="32"/>
      <c r="G152" s="32"/>
      <c r="H152" s="18"/>
      <c r="I152" s="18"/>
      <c r="J152" s="18"/>
      <c r="K152" s="18">
        <v>1486.8</v>
      </c>
      <c r="L152" s="18"/>
      <c r="M152" s="18">
        <v>106.2</v>
      </c>
      <c r="N152" s="18">
        <v>4330</v>
      </c>
      <c r="P152" s="387">
        <f t="shared" si="6"/>
        <v>0</v>
      </c>
      <c r="Q152" s="216" t="e">
        <f t="shared" si="7"/>
        <v>#DIV/0!</v>
      </c>
    </row>
    <row r="153" spans="2:17" ht="15">
      <c r="B153" s="32" t="s">
        <v>370</v>
      </c>
      <c r="C153" s="32"/>
      <c r="D153" s="32"/>
      <c r="E153" s="32"/>
      <c r="F153" s="32"/>
      <c r="G153" s="32"/>
      <c r="H153" s="18">
        <v>70392.25</v>
      </c>
      <c r="I153" s="18">
        <v>190548.56</v>
      </c>
      <c r="J153" s="18">
        <v>365312.04</v>
      </c>
      <c r="K153" s="18">
        <v>24103.51</v>
      </c>
      <c r="L153" s="18">
        <v>63657.25</v>
      </c>
      <c r="M153" s="18">
        <v>155858.6</v>
      </c>
      <c r="N153" s="18">
        <v>65188.49</v>
      </c>
      <c r="P153" s="387">
        <f t="shared" si="6"/>
        <v>-120156.31</v>
      </c>
      <c r="Q153" s="315">
        <f t="shared" si="7"/>
        <v>-0.6305810445379383</v>
      </c>
    </row>
    <row r="154" spans="2:17" ht="15">
      <c r="B154" s="32" t="s">
        <v>371</v>
      </c>
      <c r="C154" s="32"/>
      <c r="D154" s="32"/>
      <c r="E154" s="32"/>
      <c r="F154" s="32"/>
      <c r="G154" s="32"/>
      <c r="H154" s="18">
        <v>172058.81</v>
      </c>
      <c r="I154" s="18">
        <v>68827.82</v>
      </c>
      <c r="J154" s="18">
        <v>835793.6</v>
      </c>
      <c r="K154" s="18">
        <v>4818.01</v>
      </c>
      <c r="L154" s="18">
        <v>65974.98</v>
      </c>
      <c r="M154" s="18">
        <v>77606.7</v>
      </c>
      <c r="N154" s="18">
        <v>124710.03</v>
      </c>
      <c r="P154" s="387">
        <f t="shared" si="6"/>
        <v>103230.98999999999</v>
      </c>
      <c r="Q154" s="315">
        <f t="shared" si="7"/>
        <v>1.4998439584458723</v>
      </c>
    </row>
    <row r="155" spans="2:17" ht="15" hidden="1">
      <c r="B155" s="32" t="s">
        <v>372</v>
      </c>
      <c r="C155" s="32"/>
      <c r="D155" s="32"/>
      <c r="E155" s="32"/>
      <c r="F155" s="32"/>
      <c r="G155" s="32"/>
      <c r="H155" s="18"/>
      <c r="I155" s="18"/>
      <c r="J155" s="18"/>
      <c r="K155" s="18"/>
      <c r="L155" s="18"/>
      <c r="M155" s="18"/>
      <c r="N155" s="18"/>
      <c r="P155" s="387">
        <f t="shared" si="6"/>
        <v>0</v>
      </c>
      <c r="Q155" s="315" t="e">
        <f t="shared" si="7"/>
        <v>#DIV/0!</v>
      </c>
    </row>
    <row r="156" spans="2:17" ht="15" hidden="1">
      <c r="B156" s="32" t="s">
        <v>373</v>
      </c>
      <c r="C156" s="32"/>
      <c r="D156" s="32"/>
      <c r="E156" s="32"/>
      <c r="F156" s="32"/>
      <c r="G156" s="32"/>
      <c r="H156" s="18"/>
      <c r="I156" s="18"/>
      <c r="J156" s="18"/>
      <c r="K156" s="18"/>
      <c r="L156" s="18">
        <v>160209</v>
      </c>
      <c r="M156" s="18"/>
      <c r="N156" s="18"/>
      <c r="P156" s="387">
        <f t="shared" si="6"/>
        <v>0</v>
      </c>
      <c r="Q156" s="315" t="e">
        <f t="shared" si="7"/>
        <v>#DIV/0!</v>
      </c>
    </row>
    <row r="157" spans="2:17" ht="15">
      <c r="B157" s="32" t="s">
        <v>374</v>
      </c>
      <c r="C157" s="32"/>
      <c r="D157" s="32"/>
      <c r="E157" s="32"/>
      <c r="F157" s="32"/>
      <c r="G157" s="32"/>
      <c r="H157" s="18">
        <v>1890757.47</v>
      </c>
      <c r="I157" s="18">
        <v>1295164.55</v>
      </c>
      <c r="J157" s="18">
        <v>2201607.02</v>
      </c>
      <c r="K157" s="18">
        <v>2882775.09</v>
      </c>
      <c r="L157" s="18">
        <v>1571106.66</v>
      </c>
      <c r="M157" s="18">
        <v>3681571.07</v>
      </c>
      <c r="N157" s="18">
        <v>2501367.92</v>
      </c>
      <c r="P157" s="387">
        <f t="shared" si="6"/>
        <v>595592.9199999999</v>
      </c>
      <c r="Q157" s="315">
        <f t="shared" si="7"/>
        <v>0.45985888047970425</v>
      </c>
    </row>
    <row r="158" spans="2:17" ht="15">
      <c r="B158" s="32" t="s">
        <v>375</v>
      </c>
      <c r="C158" s="32"/>
      <c r="D158" s="32"/>
      <c r="E158" s="32"/>
      <c r="F158" s="32"/>
      <c r="G158" s="32"/>
      <c r="H158" s="18">
        <v>199964.63</v>
      </c>
      <c r="I158" s="18">
        <v>64521.76</v>
      </c>
      <c r="J158" s="18">
        <v>151717.49</v>
      </c>
      <c r="K158" s="18">
        <v>196813.78</v>
      </c>
      <c r="L158" s="18">
        <v>50733.6</v>
      </c>
      <c r="M158" s="18">
        <v>128791.2</v>
      </c>
      <c r="N158" s="18">
        <v>4171</v>
      </c>
      <c r="P158" s="387">
        <f t="shared" si="6"/>
        <v>135442.87</v>
      </c>
      <c r="Q158" s="315">
        <f t="shared" si="7"/>
        <v>2.0991812684588886</v>
      </c>
    </row>
    <row r="159" spans="2:17" ht="15">
      <c r="B159" s="32" t="s">
        <v>376</v>
      </c>
      <c r="C159" s="32"/>
      <c r="D159" s="32"/>
      <c r="E159" s="32"/>
      <c r="F159" s="32"/>
      <c r="G159" s="32"/>
      <c r="H159" s="18">
        <v>750</v>
      </c>
      <c r="I159" s="18">
        <v>31537.5</v>
      </c>
      <c r="J159" s="18">
        <v>8250</v>
      </c>
      <c r="K159" s="18">
        <v>25000</v>
      </c>
      <c r="L159" s="18">
        <v>40081.1</v>
      </c>
      <c r="M159" s="18">
        <v>58418.4</v>
      </c>
      <c r="N159" s="18">
        <v>26400</v>
      </c>
      <c r="P159" s="387">
        <f t="shared" si="6"/>
        <v>-30787.5</v>
      </c>
      <c r="Q159" s="315">
        <f t="shared" si="7"/>
        <v>-0.976218787158145</v>
      </c>
    </row>
    <row r="160" spans="2:17" ht="15" hidden="1">
      <c r="B160" s="32" t="s">
        <v>377</v>
      </c>
      <c r="C160" s="32"/>
      <c r="D160" s="32"/>
      <c r="E160" s="32"/>
      <c r="F160" s="32"/>
      <c r="G160" s="32"/>
      <c r="H160" s="18"/>
      <c r="I160" s="18"/>
      <c r="J160" s="18"/>
      <c r="K160" s="18"/>
      <c r="L160" s="18"/>
      <c r="M160" s="18"/>
      <c r="N160" s="18"/>
      <c r="P160" s="387">
        <f t="shared" si="6"/>
        <v>0</v>
      </c>
      <c r="Q160" s="315" t="e">
        <f t="shared" si="7"/>
        <v>#DIV/0!</v>
      </c>
    </row>
    <row r="161" spans="2:17" ht="15" hidden="1">
      <c r="B161" s="32" t="s">
        <v>378</v>
      </c>
      <c r="C161" s="32"/>
      <c r="D161" s="32"/>
      <c r="E161" s="32"/>
      <c r="F161" s="32"/>
      <c r="G161" s="32"/>
      <c r="H161" s="18"/>
      <c r="I161" s="18"/>
      <c r="J161" s="18"/>
      <c r="K161" s="18"/>
      <c r="L161" s="18"/>
      <c r="M161" s="18"/>
      <c r="N161" s="18"/>
      <c r="P161" s="387">
        <f t="shared" si="6"/>
        <v>0</v>
      </c>
      <c r="Q161" s="315" t="e">
        <f t="shared" si="7"/>
        <v>#DIV/0!</v>
      </c>
    </row>
    <row r="162" spans="2:17" ht="15">
      <c r="B162" s="32" t="s">
        <v>379</v>
      </c>
      <c r="C162" s="32"/>
      <c r="D162" s="32"/>
      <c r="E162" s="32"/>
      <c r="F162" s="32"/>
      <c r="G162" s="32"/>
      <c r="H162" s="18">
        <v>1367.33</v>
      </c>
      <c r="I162" s="18">
        <v>5756.79</v>
      </c>
      <c r="J162" s="18">
        <v>3200</v>
      </c>
      <c r="K162" s="18"/>
      <c r="L162" s="18"/>
      <c r="M162" s="18"/>
      <c r="N162" s="18"/>
      <c r="P162" s="387">
        <f t="shared" si="6"/>
        <v>-4389.46</v>
      </c>
      <c r="Q162" s="315">
        <f t="shared" si="7"/>
        <v>-0.7624839537311592</v>
      </c>
    </row>
    <row r="163" spans="2:17" ht="15">
      <c r="B163" s="32" t="s">
        <v>520</v>
      </c>
      <c r="C163" s="32"/>
      <c r="D163" s="32"/>
      <c r="E163" s="32"/>
      <c r="F163" s="32"/>
      <c r="G163" s="32"/>
      <c r="H163" s="18">
        <v>55766.8</v>
      </c>
      <c r="I163" s="18">
        <v>52700.03</v>
      </c>
      <c r="J163" s="18">
        <v>116300.8</v>
      </c>
      <c r="K163" s="18">
        <v>150728.48</v>
      </c>
      <c r="L163" s="18">
        <v>243410</v>
      </c>
      <c r="M163" s="18">
        <v>99160.43</v>
      </c>
      <c r="N163" s="18">
        <v>134117.15</v>
      </c>
      <c r="P163" s="387">
        <f t="shared" si="6"/>
        <v>3066.770000000004</v>
      </c>
      <c r="Q163" s="315">
        <f t="shared" si="7"/>
        <v>0.05819294600022057</v>
      </c>
    </row>
    <row r="164" spans="2:17" ht="15" hidden="1">
      <c r="B164" s="32" t="s">
        <v>380</v>
      </c>
      <c r="C164" s="32"/>
      <c r="D164" s="32"/>
      <c r="E164" s="32"/>
      <c r="F164" s="32"/>
      <c r="G164" s="32"/>
      <c r="H164" s="18"/>
      <c r="I164" s="18"/>
      <c r="J164" s="18"/>
      <c r="K164" s="18"/>
      <c r="L164" s="18"/>
      <c r="M164" s="18"/>
      <c r="N164" s="18"/>
      <c r="P164" s="387">
        <f t="shared" si="6"/>
        <v>0</v>
      </c>
      <c r="Q164" s="315" t="e">
        <f t="shared" si="7"/>
        <v>#DIV/0!</v>
      </c>
    </row>
    <row r="165" spans="2:17" ht="15">
      <c r="B165" s="32" t="s">
        <v>381</v>
      </c>
      <c r="C165" s="32"/>
      <c r="D165" s="32"/>
      <c r="E165" s="32"/>
      <c r="F165" s="32"/>
      <c r="G165" s="32"/>
      <c r="H165" s="18">
        <v>270353.72</v>
      </c>
      <c r="I165" s="18">
        <v>302294.11</v>
      </c>
      <c r="J165" s="18">
        <v>131608.13</v>
      </c>
      <c r="K165" s="18">
        <v>108421.18</v>
      </c>
      <c r="L165" s="18">
        <v>259193.01</v>
      </c>
      <c r="M165" s="18">
        <v>295738.26</v>
      </c>
      <c r="N165" s="18">
        <v>75589.82</v>
      </c>
      <c r="P165" s="387">
        <f t="shared" si="6"/>
        <v>-31940.390000000014</v>
      </c>
      <c r="Q165" s="315">
        <f t="shared" si="7"/>
        <v>-0.10565998126791162</v>
      </c>
    </row>
    <row r="166" spans="2:17" ht="15">
      <c r="B166" s="32" t="s">
        <v>382</v>
      </c>
      <c r="C166" s="32"/>
      <c r="D166" s="32"/>
      <c r="E166" s="32"/>
      <c r="F166" s="32"/>
      <c r="G166" s="32"/>
      <c r="H166" s="18">
        <v>5386034.29</v>
      </c>
      <c r="I166" s="18">
        <v>4125422.82</v>
      </c>
      <c r="J166" s="18">
        <v>5911625.53</v>
      </c>
      <c r="K166" s="18">
        <v>5982448.89</v>
      </c>
      <c r="L166" s="18">
        <v>5456034.19</v>
      </c>
      <c r="M166" s="18">
        <v>4553977.94</v>
      </c>
      <c r="N166" s="18">
        <v>6006213.08</v>
      </c>
      <c r="P166" s="387">
        <f t="shared" si="6"/>
        <v>1260611.4700000002</v>
      </c>
      <c r="Q166" s="315">
        <f t="shared" si="7"/>
        <v>0.3055714589759312</v>
      </c>
    </row>
    <row r="167" spans="2:17" ht="15" hidden="1">
      <c r="B167" s="32" t="s">
        <v>383</v>
      </c>
      <c r="C167" s="32"/>
      <c r="D167" s="32"/>
      <c r="E167" s="32"/>
      <c r="F167" s="32"/>
      <c r="G167" s="32"/>
      <c r="H167" s="18"/>
      <c r="I167" s="18"/>
      <c r="J167" s="18"/>
      <c r="K167" s="18"/>
      <c r="L167" s="18"/>
      <c r="M167" s="18"/>
      <c r="N167" s="18"/>
      <c r="P167" s="387">
        <f t="shared" si="6"/>
        <v>0</v>
      </c>
      <c r="Q167" s="315" t="e">
        <f t="shared" si="7"/>
        <v>#DIV/0!</v>
      </c>
    </row>
    <row r="168" spans="2:17" ht="15">
      <c r="B168" s="32" t="s">
        <v>384</v>
      </c>
      <c r="C168" s="32"/>
      <c r="D168" s="32"/>
      <c r="E168" s="32"/>
      <c r="F168" s="32"/>
      <c r="G168" s="32"/>
      <c r="H168" s="18">
        <v>3045</v>
      </c>
      <c r="I168" s="18">
        <v>37395.6</v>
      </c>
      <c r="J168" s="18">
        <v>6215.7</v>
      </c>
      <c r="K168" s="18">
        <v>3621.16</v>
      </c>
      <c r="L168" s="18">
        <v>6608.85</v>
      </c>
      <c r="M168" s="18">
        <v>7032.48</v>
      </c>
      <c r="N168" s="18">
        <v>5007.56</v>
      </c>
      <c r="P168" s="387">
        <f t="shared" si="6"/>
        <v>-34350.6</v>
      </c>
      <c r="Q168" s="315">
        <f t="shared" si="7"/>
        <v>-0.9185733080897218</v>
      </c>
    </row>
    <row r="169" spans="2:17" ht="15">
      <c r="B169" s="32" t="s">
        <v>385</v>
      </c>
      <c r="C169" s="32"/>
      <c r="D169" s="32"/>
      <c r="E169" s="32"/>
      <c r="F169" s="32"/>
      <c r="G169" s="32"/>
      <c r="H169" s="18">
        <v>5506.26</v>
      </c>
      <c r="I169" s="18">
        <v>8306</v>
      </c>
      <c r="J169" s="18">
        <v>9552</v>
      </c>
      <c r="K169" s="18">
        <v>17000</v>
      </c>
      <c r="L169" s="18">
        <v>18963.91</v>
      </c>
      <c r="M169" s="18"/>
      <c r="N169" s="18">
        <v>24634.94</v>
      </c>
      <c r="P169" s="387">
        <f t="shared" si="6"/>
        <v>-2799.74</v>
      </c>
      <c r="Q169" s="315">
        <f t="shared" si="7"/>
        <v>-0.33707440404526845</v>
      </c>
    </row>
    <row r="170" spans="2:17" ht="15">
      <c r="B170" s="32" t="s">
        <v>386</v>
      </c>
      <c r="C170" s="32"/>
      <c r="D170" s="32"/>
      <c r="E170" s="32"/>
      <c r="F170" s="32"/>
      <c r="G170" s="32"/>
      <c r="H170" s="18">
        <v>156006.28</v>
      </c>
      <c r="I170" s="18">
        <v>107171</v>
      </c>
      <c r="J170" s="18">
        <v>181279.3</v>
      </c>
      <c r="K170" s="18">
        <v>140412.7</v>
      </c>
      <c r="L170" s="18">
        <v>109066.22</v>
      </c>
      <c r="M170" s="18">
        <v>123740.3</v>
      </c>
      <c r="N170" s="18">
        <v>204104.09</v>
      </c>
      <c r="P170" s="387">
        <f t="shared" si="6"/>
        <v>48835.28</v>
      </c>
      <c r="Q170" s="315">
        <f t="shared" si="7"/>
        <v>0.45567625570350184</v>
      </c>
    </row>
    <row r="171" spans="2:17" ht="16.5" customHeight="1">
      <c r="B171" s="32" t="s">
        <v>521</v>
      </c>
      <c r="C171" s="32"/>
      <c r="D171" s="32"/>
      <c r="E171" s="32"/>
      <c r="F171" s="32"/>
      <c r="G171" s="32"/>
      <c r="H171" s="18">
        <v>455712.32</v>
      </c>
      <c r="I171" s="18">
        <v>538127.05</v>
      </c>
      <c r="J171" s="18">
        <v>454833.81</v>
      </c>
      <c r="K171" s="18">
        <v>480986.55</v>
      </c>
      <c r="L171" s="18">
        <v>319169.55</v>
      </c>
      <c r="M171" s="18">
        <v>466741.6</v>
      </c>
      <c r="N171" s="18">
        <v>576967.08</v>
      </c>
      <c r="P171" s="387">
        <f t="shared" si="6"/>
        <v>-82414.73000000004</v>
      </c>
      <c r="Q171" s="315">
        <f t="shared" si="7"/>
        <v>-0.15315106348956076</v>
      </c>
    </row>
    <row r="172" spans="2:17" ht="15" hidden="1">
      <c r="B172" s="32" t="s">
        <v>387</v>
      </c>
      <c r="C172" s="32"/>
      <c r="D172" s="32"/>
      <c r="E172" s="32"/>
      <c r="F172" s="32"/>
      <c r="G172" s="32"/>
      <c r="H172" s="18"/>
      <c r="I172" s="18"/>
      <c r="J172" s="18"/>
      <c r="K172" s="18"/>
      <c r="L172" s="18"/>
      <c r="M172" s="18"/>
      <c r="N172" s="18"/>
      <c r="P172" s="387">
        <f t="shared" si="6"/>
        <v>0</v>
      </c>
      <c r="Q172" s="315" t="e">
        <f t="shared" si="7"/>
        <v>#DIV/0!</v>
      </c>
    </row>
    <row r="173" spans="2:17" ht="15">
      <c r="B173" s="32" t="s">
        <v>388</v>
      </c>
      <c r="C173" s="32"/>
      <c r="D173" s="32"/>
      <c r="E173" s="32"/>
      <c r="F173" s="32"/>
      <c r="G173" s="32"/>
      <c r="H173" s="18">
        <v>1931</v>
      </c>
      <c r="I173" s="18">
        <v>8107.01</v>
      </c>
      <c r="J173" s="18">
        <v>189</v>
      </c>
      <c r="K173" s="18">
        <v>8833</v>
      </c>
      <c r="L173" s="18"/>
      <c r="M173" s="18"/>
      <c r="N173" s="18"/>
      <c r="P173" s="387">
        <f t="shared" si="6"/>
        <v>-6176.01</v>
      </c>
      <c r="Q173" s="315">
        <f t="shared" si="7"/>
        <v>-0.7618110746132051</v>
      </c>
    </row>
    <row r="174" spans="2:17" ht="15">
      <c r="B174" s="32" t="s">
        <v>389</v>
      </c>
      <c r="C174" s="32"/>
      <c r="D174" s="32"/>
      <c r="E174" s="32"/>
      <c r="F174" s="32"/>
      <c r="G174" s="32"/>
      <c r="H174" s="18">
        <v>6215</v>
      </c>
      <c r="I174" s="18">
        <v>3489</v>
      </c>
      <c r="J174" s="18">
        <v>7373.65</v>
      </c>
      <c r="K174" s="18">
        <v>14573</v>
      </c>
      <c r="L174" s="18">
        <v>715.05</v>
      </c>
      <c r="M174" s="18">
        <v>8100.8</v>
      </c>
      <c r="N174" s="18">
        <v>58756.74</v>
      </c>
      <c r="P174" s="387">
        <f t="shared" si="6"/>
        <v>2726</v>
      </c>
      <c r="Q174" s="315">
        <f t="shared" si="7"/>
        <v>0.7813126970478648</v>
      </c>
    </row>
    <row r="175" spans="2:17" ht="15">
      <c r="B175" s="32" t="s">
        <v>390</v>
      </c>
      <c r="C175" s="32"/>
      <c r="D175" s="32"/>
      <c r="E175" s="32"/>
      <c r="F175" s="32"/>
      <c r="G175" s="32"/>
      <c r="H175" s="18">
        <v>6723</v>
      </c>
      <c r="I175" s="18">
        <v>8078.01</v>
      </c>
      <c r="J175" s="18">
        <v>4710</v>
      </c>
      <c r="K175" s="18">
        <v>930.14</v>
      </c>
      <c r="L175" s="18"/>
      <c r="M175" s="18">
        <v>12122.99</v>
      </c>
      <c r="N175" s="18">
        <v>2009.5</v>
      </c>
      <c r="P175" s="387">
        <f t="shared" si="6"/>
        <v>-1355.0100000000002</v>
      </c>
      <c r="Q175" s="315">
        <f t="shared" si="7"/>
        <v>-0.16774056976903967</v>
      </c>
    </row>
    <row r="176" spans="2:17" ht="15">
      <c r="B176" s="32" t="s">
        <v>522</v>
      </c>
      <c r="C176" s="32"/>
      <c r="D176" s="32"/>
      <c r="E176" s="32"/>
      <c r="F176" s="32"/>
      <c r="G176" s="32"/>
      <c r="H176" s="18">
        <v>6830.75</v>
      </c>
      <c r="I176" s="18">
        <v>7852</v>
      </c>
      <c r="J176" s="18">
        <v>3197.85</v>
      </c>
      <c r="K176" s="18">
        <v>12390</v>
      </c>
      <c r="L176" s="18">
        <v>669.97</v>
      </c>
      <c r="M176" s="18">
        <v>595</v>
      </c>
      <c r="N176" s="18">
        <v>2330.23</v>
      </c>
      <c r="P176" s="387">
        <f t="shared" si="6"/>
        <v>-1021.25</v>
      </c>
      <c r="Q176" s="315">
        <f t="shared" si="7"/>
        <v>-0.1300624044829343</v>
      </c>
    </row>
    <row r="177" spans="2:17" ht="15">
      <c r="B177" s="32" t="s">
        <v>391</v>
      </c>
      <c r="C177" s="32"/>
      <c r="D177" s="32"/>
      <c r="E177" s="32"/>
      <c r="F177" s="32"/>
      <c r="G177" s="32"/>
      <c r="H177" s="18">
        <v>55028</v>
      </c>
      <c r="I177" s="18">
        <v>675</v>
      </c>
      <c r="J177" s="18">
        <v>984</v>
      </c>
      <c r="K177" s="18">
        <v>1208</v>
      </c>
      <c r="L177" s="18">
        <v>310</v>
      </c>
      <c r="M177" s="18">
        <v>4155</v>
      </c>
      <c r="N177" s="18">
        <v>220</v>
      </c>
      <c r="P177" s="387">
        <f t="shared" si="6"/>
        <v>54353</v>
      </c>
      <c r="Q177" s="315">
        <f t="shared" si="7"/>
        <v>80.52296296296296</v>
      </c>
    </row>
    <row r="178" spans="2:17" ht="15" hidden="1">
      <c r="B178" s="32" t="s">
        <v>392</v>
      </c>
      <c r="C178" s="32"/>
      <c r="D178" s="32"/>
      <c r="E178" s="32"/>
      <c r="F178" s="32"/>
      <c r="G178" s="32"/>
      <c r="H178" s="18"/>
      <c r="I178" s="18"/>
      <c r="J178" s="18"/>
      <c r="K178" s="18"/>
      <c r="L178" s="18">
        <v>1179</v>
      </c>
      <c r="M178" s="18"/>
      <c r="N178" s="18"/>
      <c r="P178" s="387">
        <f t="shared" si="6"/>
        <v>0</v>
      </c>
      <c r="Q178" s="315" t="e">
        <f t="shared" si="7"/>
        <v>#DIV/0!</v>
      </c>
    </row>
    <row r="179" spans="2:17" ht="15" customHeight="1">
      <c r="B179" s="32" t="s">
        <v>523</v>
      </c>
      <c r="C179" s="32"/>
      <c r="D179" s="32"/>
      <c r="E179" s="32"/>
      <c r="F179" s="32"/>
      <c r="G179" s="32"/>
      <c r="H179" s="18">
        <v>190047.03</v>
      </c>
      <c r="I179" s="18">
        <v>21499.56</v>
      </c>
      <c r="J179" s="18">
        <v>16126.59</v>
      </c>
      <c r="K179" s="18">
        <v>87467.93</v>
      </c>
      <c r="L179" s="18">
        <v>60451.88</v>
      </c>
      <c r="M179" s="18">
        <v>36441.61</v>
      </c>
      <c r="N179" s="18">
        <v>202971.08</v>
      </c>
      <c r="P179" s="387">
        <f t="shared" si="6"/>
        <v>168547.47</v>
      </c>
      <c r="Q179" s="315">
        <f t="shared" si="7"/>
        <v>7.8395776471704535</v>
      </c>
    </row>
    <row r="180" spans="2:17" ht="15" customHeight="1" hidden="1">
      <c r="B180" s="32" t="s">
        <v>524</v>
      </c>
      <c r="C180" s="32"/>
      <c r="D180" s="32"/>
      <c r="E180" s="32"/>
      <c r="F180" s="32"/>
      <c r="G180" s="32"/>
      <c r="H180" s="18"/>
      <c r="I180" s="18"/>
      <c r="J180" s="18"/>
      <c r="K180" s="18">
        <v>63134.15</v>
      </c>
      <c r="L180" s="18"/>
      <c r="M180" s="18">
        <v>66501.57</v>
      </c>
      <c r="N180" s="18">
        <v>33373.88</v>
      </c>
      <c r="P180" s="387">
        <f t="shared" si="6"/>
        <v>0</v>
      </c>
      <c r="Q180" s="315" t="e">
        <f t="shared" si="7"/>
        <v>#DIV/0!</v>
      </c>
    </row>
    <row r="181" spans="2:17" ht="15" customHeight="1" hidden="1">
      <c r="B181" s="32" t="s">
        <v>393</v>
      </c>
      <c r="C181" s="32"/>
      <c r="D181" s="32"/>
      <c r="E181" s="32"/>
      <c r="F181" s="32"/>
      <c r="G181" s="32"/>
      <c r="H181" s="18"/>
      <c r="I181" s="18"/>
      <c r="J181" s="18"/>
      <c r="K181" s="18"/>
      <c r="L181" s="18">
        <v>738.05</v>
      </c>
      <c r="M181" s="18"/>
      <c r="N181" s="18"/>
      <c r="P181" s="387">
        <f t="shared" si="6"/>
        <v>0</v>
      </c>
      <c r="Q181" s="315" t="e">
        <f t="shared" si="7"/>
        <v>#DIV/0!</v>
      </c>
    </row>
    <row r="182" spans="2:17" ht="15" customHeight="1">
      <c r="B182" s="32" t="s">
        <v>394</v>
      </c>
      <c r="C182" s="32"/>
      <c r="D182" s="32"/>
      <c r="E182" s="32"/>
      <c r="F182" s="32"/>
      <c r="G182" s="32"/>
      <c r="H182" s="18">
        <v>52510</v>
      </c>
      <c r="I182" s="18"/>
      <c r="J182" s="18"/>
      <c r="K182" s="18"/>
      <c r="L182" s="18"/>
      <c r="M182" s="18"/>
      <c r="N182" s="18"/>
      <c r="P182" s="387">
        <f t="shared" si="6"/>
        <v>52510</v>
      </c>
      <c r="Q182" s="315" t="e">
        <f t="shared" si="7"/>
        <v>#DIV/0!</v>
      </c>
    </row>
    <row r="183" spans="2:17" ht="15" customHeight="1">
      <c r="B183" s="32" t="s">
        <v>395</v>
      </c>
      <c r="C183" s="32"/>
      <c r="D183" s="32"/>
      <c r="E183" s="32"/>
      <c r="F183" s="32"/>
      <c r="G183" s="32"/>
      <c r="H183" s="18">
        <v>274798.05</v>
      </c>
      <c r="I183" s="18">
        <v>248426.81</v>
      </c>
      <c r="J183" s="18">
        <v>198842.98</v>
      </c>
      <c r="K183" s="18">
        <v>203351.32</v>
      </c>
      <c r="L183" s="18">
        <v>250366.42</v>
      </c>
      <c r="M183" s="18">
        <v>243342.8</v>
      </c>
      <c r="N183" s="18">
        <v>180818.48</v>
      </c>
      <c r="P183" s="387">
        <f t="shared" si="6"/>
        <v>26371.23999999999</v>
      </c>
      <c r="Q183" s="315">
        <f t="shared" si="7"/>
        <v>0.10615295506954338</v>
      </c>
    </row>
    <row r="184" spans="2:17" ht="15" customHeight="1">
      <c r="B184" s="32" t="s">
        <v>396</v>
      </c>
      <c r="C184" s="32"/>
      <c r="D184" s="32"/>
      <c r="E184" s="32"/>
      <c r="F184" s="32"/>
      <c r="G184" s="32"/>
      <c r="H184" s="18">
        <v>480006.58</v>
      </c>
      <c r="I184" s="18">
        <v>312561.54</v>
      </c>
      <c r="J184" s="18">
        <v>501129.11</v>
      </c>
      <c r="K184" s="18">
        <v>388853.26</v>
      </c>
      <c r="L184" s="18">
        <v>1418170.83</v>
      </c>
      <c r="M184" s="18">
        <v>448986.18</v>
      </c>
      <c r="N184" s="18">
        <v>427974.82</v>
      </c>
      <c r="P184" s="387">
        <f t="shared" si="6"/>
        <v>167445.04000000004</v>
      </c>
      <c r="Q184" s="315">
        <f t="shared" si="7"/>
        <v>0.5357186300016312</v>
      </c>
    </row>
    <row r="185" spans="2:17" ht="15">
      <c r="B185" s="32" t="s">
        <v>397</v>
      </c>
      <c r="C185" s="32"/>
      <c r="D185" s="32"/>
      <c r="E185" s="32"/>
      <c r="F185" s="32"/>
      <c r="G185" s="32"/>
      <c r="H185" s="18">
        <v>172984.54</v>
      </c>
      <c r="I185" s="18">
        <v>50211.45</v>
      </c>
      <c r="J185" s="18">
        <v>82831.22</v>
      </c>
      <c r="K185" s="18">
        <v>10089.75</v>
      </c>
      <c r="L185" s="18"/>
      <c r="M185" s="18"/>
      <c r="N185" s="18"/>
      <c r="P185" s="387">
        <f t="shared" si="6"/>
        <v>122773.09000000001</v>
      </c>
      <c r="Q185" s="315">
        <f t="shared" si="7"/>
        <v>2.4451213816768886</v>
      </c>
    </row>
    <row r="186" spans="2:17" ht="15" hidden="1">
      <c r="B186" s="32" t="s">
        <v>398</v>
      </c>
      <c r="C186" s="32"/>
      <c r="D186" s="32"/>
      <c r="E186" s="32"/>
      <c r="F186" s="32"/>
      <c r="G186" s="32"/>
      <c r="H186" s="18"/>
      <c r="I186" s="18"/>
      <c r="J186" s="18"/>
      <c r="K186" s="18"/>
      <c r="L186" s="18"/>
      <c r="M186" s="18"/>
      <c r="N186" s="18"/>
      <c r="P186" s="387">
        <f t="shared" si="6"/>
        <v>0</v>
      </c>
      <c r="Q186" s="315" t="e">
        <f t="shared" si="7"/>
        <v>#DIV/0!</v>
      </c>
    </row>
    <row r="187" spans="2:17" ht="15">
      <c r="B187" s="32" t="s">
        <v>399</v>
      </c>
      <c r="C187" s="32"/>
      <c r="D187" s="32"/>
      <c r="E187" s="32"/>
      <c r="F187" s="32"/>
      <c r="G187" s="32"/>
      <c r="H187" s="18">
        <v>6008.27</v>
      </c>
      <c r="I187" s="18">
        <v>15723.13</v>
      </c>
      <c r="J187" s="18">
        <v>44460.83</v>
      </c>
      <c r="K187" s="18">
        <v>9793.8</v>
      </c>
      <c r="L187" s="18">
        <v>66845.29</v>
      </c>
      <c r="M187" s="18">
        <v>90106.2</v>
      </c>
      <c r="N187" s="18">
        <v>73065.4</v>
      </c>
      <c r="P187" s="387">
        <f t="shared" si="6"/>
        <v>-9714.859999999999</v>
      </c>
      <c r="Q187" s="315">
        <f t="shared" si="7"/>
        <v>-0.6178706148203316</v>
      </c>
    </row>
    <row r="188" spans="2:17" ht="15">
      <c r="B188" s="32" t="s">
        <v>525</v>
      </c>
      <c r="C188" s="32"/>
      <c r="D188" s="32"/>
      <c r="E188" s="32"/>
      <c r="F188" s="32"/>
      <c r="G188" s="32"/>
      <c r="H188" s="18">
        <v>203193.29</v>
      </c>
      <c r="I188" s="18">
        <v>292895.77</v>
      </c>
      <c r="J188" s="18">
        <v>571580.44</v>
      </c>
      <c r="K188" s="18">
        <v>686387.84</v>
      </c>
      <c r="L188" s="18">
        <v>289865.14</v>
      </c>
      <c r="M188" s="18">
        <v>288713.5</v>
      </c>
      <c r="N188" s="18">
        <v>308438.47</v>
      </c>
      <c r="P188" s="387">
        <f t="shared" si="6"/>
        <v>-89702.48000000001</v>
      </c>
      <c r="Q188" s="315">
        <f t="shared" si="7"/>
        <v>-0.3062607561727505</v>
      </c>
    </row>
    <row r="189" spans="2:17" ht="15">
      <c r="B189" s="32" t="s">
        <v>586</v>
      </c>
      <c r="C189" s="32"/>
      <c r="D189" s="32"/>
      <c r="E189" s="32"/>
      <c r="F189" s="32"/>
      <c r="G189" s="32"/>
      <c r="H189" s="18">
        <v>3102652.04</v>
      </c>
      <c r="I189" s="18">
        <v>2168710.74</v>
      </c>
      <c r="J189" s="18">
        <v>3159275.9</v>
      </c>
      <c r="K189" s="18">
        <v>3651882.03</v>
      </c>
      <c r="L189" s="18">
        <v>1430721.86</v>
      </c>
      <c r="M189" s="18">
        <v>2626648.48</v>
      </c>
      <c r="N189" s="18">
        <v>2031745.4</v>
      </c>
      <c r="P189" s="387">
        <f t="shared" si="6"/>
        <v>933941.2999999998</v>
      </c>
      <c r="Q189" s="315">
        <f t="shared" si="7"/>
        <v>0.43064355369033663</v>
      </c>
    </row>
    <row r="190" spans="2:17" ht="15" hidden="1">
      <c r="B190" s="32" t="s">
        <v>400</v>
      </c>
      <c r="C190" s="32"/>
      <c r="D190" s="32"/>
      <c r="E190" s="32"/>
      <c r="F190" s="32"/>
      <c r="G190" s="32"/>
      <c r="H190" s="18"/>
      <c r="I190" s="18"/>
      <c r="J190" s="18">
        <v>3199.08</v>
      </c>
      <c r="K190" s="18"/>
      <c r="L190" s="18"/>
      <c r="M190" s="18"/>
      <c r="N190" s="18">
        <v>248885.46</v>
      </c>
      <c r="P190" s="387">
        <f t="shared" si="6"/>
        <v>0</v>
      </c>
      <c r="Q190" s="315" t="e">
        <f t="shared" si="7"/>
        <v>#DIV/0!</v>
      </c>
    </row>
    <row r="191" spans="2:17" ht="15">
      <c r="B191" s="32" t="s">
        <v>401</v>
      </c>
      <c r="C191" s="32"/>
      <c r="D191" s="32"/>
      <c r="E191" s="32"/>
      <c r="F191" s="32"/>
      <c r="G191" s="32"/>
      <c r="H191" s="18">
        <v>10620</v>
      </c>
      <c r="I191" s="18">
        <v>289165.59</v>
      </c>
      <c r="J191" s="18">
        <v>3015.9</v>
      </c>
      <c r="K191" s="18"/>
      <c r="L191" s="18"/>
      <c r="M191" s="18"/>
      <c r="N191" s="18"/>
      <c r="P191" s="387">
        <f t="shared" si="6"/>
        <v>-278545.59</v>
      </c>
      <c r="Q191" s="315">
        <f t="shared" si="7"/>
        <v>-0.9632736384712994</v>
      </c>
    </row>
    <row r="192" spans="2:17" ht="15">
      <c r="B192" s="501" t="s">
        <v>526</v>
      </c>
      <c r="C192" s="501"/>
      <c r="D192" s="32"/>
      <c r="E192" s="32"/>
      <c r="F192" s="32"/>
      <c r="G192" s="32"/>
      <c r="H192" s="18"/>
      <c r="I192" s="18">
        <v>294000</v>
      </c>
      <c r="J192" s="18">
        <v>3016000</v>
      </c>
      <c r="K192" s="18">
        <v>2023000</v>
      </c>
      <c r="L192" s="18"/>
      <c r="M192" s="18">
        <v>1679000</v>
      </c>
      <c r="N192" s="18">
        <v>1286000</v>
      </c>
      <c r="O192" s="18">
        <f>+J192-K192</f>
        <v>993000</v>
      </c>
      <c r="P192" s="387">
        <f t="shared" si="6"/>
        <v>-294000</v>
      </c>
      <c r="Q192" s="315">
        <f t="shared" si="7"/>
        <v>-1</v>
      </c>
    </row>
    <row r="193" spans="2:17" ht="15">
      <c r="B193" s="32" t="s">
        <v>695</v>
      </c>
      <c r="C193" s="32"/>
      <c r="D193" s="32"/>
      <c r="E193" s="32"/>
      <c r="F193" s="32"/>
      <c r="G193" s="32"/>
      <c r="H193" s="18">
        <v>150000</v>
      </c>
      <c r="I193" s="18">
        <v>150000</v>
      </c>
      <c r="J193" s="18">
        <v>150000</v>
      </c>
      <c r="K193" s="18">
        <v>150000</v>
      </c>
      <c r="L193" s="18"/>
      <c r="M193" s="18">
        <v>150000</v>
      </c>
      <c r="N193" s="18"/>
      <c r="P193" s="387">
        <f t="shared" si="6"/>
        <v>0</v>
      </c>
      <c r="Q193" s="315">
        <f t="shared" si="7"/>
        <v>0</v>
      </c>
    </row>
    <row r="194" spans="2:17" ht="15" hidden="1">
      <c r="B194" s="32"/>
      <c r="C194" s="32"/>
      <c r="D194" s="32"/>
      <c r="E194" s="32"/>
      <c r="F194" s="32"/>
      <c r="G194" s="32"/>
      <c r="H194" s="18"/>
      <c r="I194" s="18"/>
      <c r="J194" s="32"/>
      <c r="K194" s="18"/>
      <c r="L194" s="18"/>
      <c r="M194" s="18"/>
      <c r="N194" s="18"/>
      <c r="P194" s="387">
        <f t="shared" si="6"/>
        <v>0</v>
      </c>
      <c r="Q194" s="315" t="e">
        <f t="shared" si="7"/>
        <v>#DIV/0!</v>
      </c>
    </row>
    <row r="195" spans="2:17" ht="15" hidden="1">
      <c r="B195" s="32"/>
      <c r="C195" s="32"/>
      <c r="D195" s="32"/>
      <c r="E195" s="32"/>
      <c r="F195" s="32"/>
      <c r="G195" s="32"/>
      <c r="H195" s="18"/>
      <c r="I195" s="18"/>
      <c r="J195" s="32"/>
      <c r="K195" s="18"/>
      <c r="L195" s="18"/>
      <c r="M195" s="18"/>
      <c r="N195" s="18"/>
      <c r="P195" s="387">
        <f t="shared" si="6"/>
        <v>0</v>
      </c>
      <c r="Q195" s="315" t="e">
        <f t="shared" si="7"/>
        <v>#DIV/0!</v>
      </c>
    </row>
    <row r="196" spans="2:17" ht="15" hidden="1">
      <c r="B196" s="32" t="s">
        <v>401</v>
      </c>
      <c r="C196" s="32"/>
      <c r="D196" s="32"/>
      <c r="E196" s="32"/>
      <c r="F196" s="32"/>
      <c r="G196" s="32"/>
      <c r="H196" s="18"/>
      <c r="I196" s="18"/>
      <c r="J196" s="32"/>
      <c r="K196" s="18"/>
      <c r="L196" s="18">
        <v>5100</v>
      </c>
      <c r="M196" s="18"/>
      <c r="N196" s="36">
        <v>5438.97</v>
      </c>
      <c r="P196" s="387">
        <f t="shared" si="6"/>
        <v>0</v>
      </c>
      <c r="Q196" s="315" t="e">
        <f t="shared" si="7"/>
        <v>#DIV/0!</v>
      </c>
    </row>
    <row r="197" spans="2:17" ht="15" hidden="1">
      <c r="B197" s="32"/>
      <c r="C197" s="32"/>
      <c r="D197" s="32"/>
      <c r="E197" s="32"/>
      <c r="F197" s="32"/>
      <c r="G197" s="32"/>
      <c r="H197" s="18"/>
      <c r="I197" s="18"/>
      <c r="J197" s="32"/>
      <c r="K197" s="18"/>
      <c r="L197" s="18"/>
      <c r="M197" s="18"/>
      <c r="N197" s="18"/>
      <c r="P197" s="387">
        <f t="shared" si="6"/>
        <v>0</v>
      </c>
      <c r="Q197" s="315" t="e">
        <f t="shared" si="7"/>
        <v>#DIV/0!</v>
      </c>
    </row>
    <row r="198" spans="2:17" ht="15">
      <c r="B198" s="32" t="s">
        <v>617</v>
      </c>
      <c r="C198" s="32"/>
      <c r="D198" s="32"/>
      <c r="E198" s="32"/>
      <c r="F198" s="32"/>
      <c r="G198" s="32"/>
      <c r="H198" s="18"/>
      <c r="I198" s="18">
        <v>2700</v>
      </c>
      <c r="J198" s="18">
        <v>6000</v>
      </c>
      <c r="K198" s="18"/>
      <c r="L198" s="18"/>
      <c r="M198" s="18"/>
      <c r="N198" s="18"/>
      <c r="P198" s="387">
        <f t="shared" si="6"/>
        <v>-2700</v>
      </c>
      <c r="Q198" s="315">
        <f t="shared" si="7"/>
        <v>-1</v>
      </c>
    </row>
    <row r="199" spans="2:17" ht="16.5" thickBot="1">
      <c r="B199" s="34" t="s">
        <v>305</v>
      </c>
      <c r="C199" s="32"/>
      <c r="D199" s="32"/>
      <c r="E199" s="32"/>
      <c r="F199" s="32"/>
      <c r="G199" s="32"/>
      <c r="H199" s="86">
        <f>SUM(H144:H198)</f>
        <v>27236509.940000005</v>
      </c>
      <c r="I199" s="86">
        <f>SUM(I144:I198)</f>
        <v>22049692.330000002</v>
      </c>
      <c r="J199" s="86">
        <f>SUM(J144:J198)</f>
        <v>32420664.50999999</v>
      </c>
      <c r="K199" s="86">
        <f>SUM(K144:K193)</f>
        <v>29054319.070000004</v>
      </c>
      <c r="L199" s="39">
        <f>SUM(L144:L197)</f>
        <v>25434729.67</v>
      </c>
      <c r="M199" s="86">
        <f>SUM(M144:M196)</f>
        <v>28124847.32</v>
      </c>
      <c r="N199" s="61">
        <f>SUM(N144:N196)</f>
        <v>26596069.56999999</v>
      </c>
      <c r="P199" s="387">
        <f t="shared" si="6"/>
        <v>5186817.610000003</v>
      </c>
      <c r="Q199" s="315">
        <f t="shared" si="7"/>
        <v>0.23523310585803547</v>
      </c>
    </row>
    <row r="200" spans="2:16" ht="15.75" hidden="1" thickTop="1">
      <c r="B200" s="32"/>
      <c r="C200" s="32"/>
      <c r="D200" s="32"/>
      <c r="E200" s="32"/>
      <c r="F200" s="32"/>
      <c r="G200" s="32"/>
      <c r="H200" s="32"/>
      <c r="I200" s="32"/>
      <c r="J200" s="32"/>
      <c r="K200" s="32"/>
      <c r="L200" s="18"/>
      <c r="M200" s="18"/>
      <c r="P200" s="387">
        <f t="shared" si="6"/>
        <v>0</v>
      </c>
    </row>
    <row r="201" spans="2:16" ht="15" hidden="1">
      <c r="B201" s="32"/>
      <c r="C201" s="32"/>
      <c r="D201" s="32"/>
      <c r="E201" s="32"/>
      <c r="F201" s="32"/>
      <c r="G201" s="32"/>
      <c r="H201" s="32"/>
      <c r="I201" s="32"/>
      <c r="J201" s="32"/>
      <c r="K201" s="32"/>
      <c r="L201" s="18"/>
      <c r="M201" s="18"/>
      <c r="P201" s="387">
        <f t="shared" si="6"/>
        <v>0</v>
      </c>
    </row>
    <row r="202" spans="2:16" ht="15" hidden="1">
      <c r="B202" s="32"/>
      <c r="C202" s="32"/>
      <c r="D202" s="32"/>
      <c r="E202" s="32"/>
      <c r="F202" s="32"/>
      <c r="G202" s="32"/>
      <c r="H202" s="32"/>
      <c r="I202" s="32"/>
      <c r="J202" s="32"/>
      <c r="K202" s="32"/>
      <c r="L202" s="18"/>
      <c r="M202" s="18"/>
      <c r="P202" s="387">
        <f t="shared" si="6"/>
        <v>0</v>
      </c>
    </row>
    <row r="203" spans="2:16" ht="18.75" hidden="1">
      <c r="B203" s="32"/>
      <c r="C203" s="32"/>
      <c r="D203" s="32"/>
      <c r="E203" s="32"/>
      <c r="F203" s="32"/>
      <c r="G203" s="32"/>
      <c r="H203" s="32"/>
      <c r="I203" s="32"/>
      <c r="J203" s="32"/>
      <c r="K203" s="32"/>
      <c r="L203" s="33" t="s">
        <v>505</v>
      </c>
      <c r="M203" s="33"/>
      <c r="P203" s="387">
        <f t="shared" si="6"/>
        <v>0</v>
      </c>
    </row>
    <row r="204" spans="2:16" ht="18.75" hidden="1">
      <c r="B204" s="35" t="s">
        <v>402</v>
      </c>
      <c r="C204" s="32"/>
      <c r="D204" s="32"/>
      <c r="E204" s="32"/>
      <c r="F204" s="32"/>
      <c r="G204" s="32"/>
      <c r="H204" s="32"/>
      <c r="I204" s="32"/>
      <c r="J204" s="32"/>
      <c r="K204" s="32"/>
      <c r="L204" s="18"/>
      <c r="M204" s="18"/>
      <c r="P204" s="387">
        <f t="shared" si="6"/>
        <v>0</v>
      </c>
    </row>
    <row r="205" spans="2:16" ht="15" hidden="1">
      <c r="B205" s="32" t="s">
        <v>403</v>
      </c>
      <c r="C205" s="32"/>
      <c r="D205" s="32"/>
      <c r="E205" s="32"/>
      <c r="F205" s="32"/>
      <c r="G205" s="32"/>
      <c r="H205" s="32"/>
      <c r="I205" s="32"/>
      <c r="J205" s="32"/>
      <c r="K205" s="32"/>
      <c r="L205" s="18"/>
      <c r="M205" s="18"/>
      <c r="P205" s="387">
        <f t="shared" si="6"/>
        <v>0</v>
      </c>
    </row>
    <row r="206" spans="2:16" ht="15" hidden="1">
      <c r="B206" s="32" t="s">
        <v>404</v>
      </c>
      <c r="C206" s="32"/>
      <c r="D206" s="32"/>
      <c r="E206" s="32"/>
      <c r="F206" s="32"/>
      <c r="G206" s="32"/>
      <c r="H206" s="32"/>
      <c r="I206" s="32"/>
      <c r="J206" s="32"/>
      <c r="K206" s="32"/>
      <c r="L206" s="18"/>
      <c r="M206" s="18"/>
      <c r="P206" s="387">
        <f t="shared" si="6"/>
        <v>0</v>
      </c>
    </row>
    <row r="207" spans="2:16" ht="15" hidden="1">
      <c r="B207" s="32" t="s">
        <v>405</v>
      </c>
      <c r="C207" s="32"/>
      <c r="D207" s="32"/>
      <c r="E207" s="32"/>
      <c r="F207" s="32"/>
      <c r="G207" s="32"/>
      <c r="H207" s="32"/>
      <c r="I207" s="32"/>
      <c r="J207" s="32"/>
      <c r="K207" s="32"/>
      <c r="L207" s="18"/>
      <c r="M207" s="18"/>
      <c r="P207" s="387">
        <f t="shared" si="6"/>
        <v>0</v>
      </c>
    </row>
    <row r="208" spans="2:16" ht="15" hidden="1">
      <c r="B208" s="32" t="s">
        <v>406</v>
      </c>
      <c r="C208" s="32"/>
      <c r="D208" s="32"/>
      <c r="E208" s="32"/>
      <c r="F208" s="32"/>
      <c r="G208" s="32"/>
      <c r="H208" s="32"/>
      <c r="I208" s="32"/>
      <c r="J208" s="32"/>
      <c r="K208" s="32"/>
      <c r="L208" s="18"/>
      <c r="M208" s="18"/>
      <c r="P208" s="387">
        <f t="shared" si="6"/>
        <v>0</v>
      </c>
    </row>
    <row r="209" spans="2:16" ht="15" hidden="1">
      <c r="B209" s="32" t="s">
        <v>407</v>
      </c>
      <c r="C209" s="32"/>
      <c r="D209" s="32"/>
      <c r="E209" s="32"/>
      <c r="F209" s="32"/>
      <c r="G209" s="32"/>
      <c r="H209" s="32"/>
      <c r="I209" s="32"/>
      <c r="J209" s="32"/>
      <c r="K209" s="32"/>
      <c r="L209" s="18"/>
      <c r="M209" s="18"/>
      <c r="P209" s="387">
        <f aca="true" t="shared" si="8" ref="P209:P252">+H209-I209</f>
        <v>0</v>
      </c>
    </row>
    <row r="210" spans="2:16" ht="15" hidden="1">
      <c r="B210" s="32" t="s">
        <v>408</v>
      </c>
      <c r="C210" s="32"/>
      <c r="D210" s="32"/>
      <c r="E210" s="32"/>
      <c r="F210" s="32"/>
      <c r="G210" s="32"/>
      <c r="H210" s="32"/>
      <c r="I210" s="32"/>
      <c r="J210" s="32"/>
      <c r="K210" s="32"/>
      <c r="L210" s="18"/>
      <c r="M210" s="18"/>
      <c r="P210" s="387">
        <f t="shared" si="8"/>
        <v>0</v>
      </c>
    </row>
    <row r="211" spans="2:16" ht="15" hidden="1">
      <c r="B211" s="32" t="s">
        <v>409</v>
      </c>
      <c r="C211" s="32"/>
      <c r="D211" s="32"/>
      <c r="E211" s="32"/>
      <c r="F211" s="32"/>
      <c r="G211" s="32"/>
      <c r="H211" s="32"/>
      <c r="I211" s="32"/>
      <c r="J211" s="32"/>
      <c r="K211" s="32"/>
      <c r="L211" s="18"/>
      <c r="M211" s="18"/>
      <c r="P211" s="387">
        <f t="shared" si="8"/>
        <v>0</v>
      </c>
    </row>
    <row r="212" spans="2:16" ht="15" hidden="1">
      <c r="B212" s="32" t="s">
        <v>410</v>
      </c>
      <c r="C212" s="32"/>
      <c r="D212" s="32"/>
      <c r="E212" s="32"/>
      <c r="F212" s="32"/>
      <c r="G212" s="32"/>
      <c r="H212" s="32"/>
      <c r="I212" s="32"/>
      <c r="J212" s="32"/>
      <c r="K212" s="32"/>
      <c r="L212" s="18"/>
      <c r="M212" s="18"/>
      <c r="P212" s="387">
        <f t="shared" si="8"/>
        <v>0</v>
      </c>
    </row>
    <row r="213" spans="2:16" ht="15" hidden="1">
      <c r="B213" s="32" t="s">
        <v>411</v>
      </c>
      <c r="C213" s="32"/>
      <c r="D213" s="32"/>
      <c r="E213" s="32"/>
      <c r="F213" s="32"/>
      <c r="G213" s="32"/>
      <c r="H213" s="32"/>
      <c r="I213" s="32"/>
      <c r="J213" s="32"/>
      <c r="K213" s="32"/>
      <c r="L213" s="18"/>
      <c r="M213" s="18"/>
      <c r="P213" s="387">
        <f t="shared" si="8"/>
        <v>0</v>
      </c>
    </row>
    <row r="214" spans="2:16" ht="15" hidden="1">
      <c r="B214" s="32" t="s">
        <v>412</v>
      </c>
      <c r="C214" s="32"/>
      <c r="D214" s="32"/>
      <c r="E214" s="32"/>
      <c r="F214" s="32"/>
      <c r="G214" s="32"/>
      <c r="H214" s="32"/>
      <c r="I214" s="32"/>
      <c r="J214" s="32"/>
      <c r="K214" s="32"/>
      <c r="L214" s="18"/>
      <c r="M214" s="18"/>
      <c r="P214" s="387">
        <f t="shared" si="8"/>
        <v>0</v>
      </c>
    </row>
    <row r="215" spans="2:16" ht="15" hidden="1">
      <c r="B215" s="32" t="s">
        <v>413</v>
      </c>
      <c r="C215" s="32"/>
      <c r="D215" s="32"/>
      <c r="E215" s="32"/>
      <c r="F215" s="32"/>
      <c r="G215" s="32"/>
      <c r="H215" s="32"/>
      <c r="I215" s="32"/>
      <c r="J215" s="32"/>
      <c r="K215" s="32"/>
      <c r="L215" s="18"/>
      <c r="M215" s="18"/>
      <c r="P215" s="387">
        <f t="shared" si="8"/>
        <v>0</v>
      </c>
    </row>
    <row r="216" spans="2:16" ht="15" hidden="1">
      <c r="B216" s="32" t="s">
        <v>414</v>
      </c>
      <c r="C216" s="32"/>
      <c r="D216" s="32"/>
      <c r="E216" s="32"/>
      <c r="F216" s="32"/>
      <c r="G216" s="32"/>
      <c r="H216" s="32"/>
      <c r="I216" s="32"/>
      <c r="J216" s="32"/>
      <c r="K216" s="32"/>
      <c r="L216" s="18"/>
      <c r="M216" s="18"/>
      <c r="P216" s="387">
        <f t="shared" si="8"/>
        <v>0</v>
      </c>
    </row>
    <row r="217" spans="2:16" ht="15" hidden="1">
      <c r="B217" s="32"/>
      <c r="C217" s="32"/>
      <c r="D217" s="32"/>
      <c r="E217" s="32"/>
      <c r="F217" s="32"/>
      <c r="G217" s="32"/>
      <c r="H217" s="32"/>
      <c r="I217" s="32"/>
      <c r="J217" s="32"/>
      <c r="K217" s="32"/>
      <c r="L217" s="18"/>
      <c r="M217" s="18"/>
      <c r="P217" s="387">
        <f t="shared" si="8"/>
        <v>0</v>
      </c>
    </row>
    <row r="218" spans="2:16" ht="15" hidden="1">
      <c r="B218" s="32"/>
      <c r="C218" s="32"/>
      <c r="D218" s="32"/>
      <c r="E218" s="32"/>
      <c r="F218" s="32"/>
      <c r="G218" s="32"/>
      <c r="H218" s="32"/>
      <c r="I218" s="32"/>
      <c r="J218" s="32"/>
      <c r="K218" s="32"/>
      <c r="L218" s="18"/>
      <c r="M218" s="18"/>
      <c r="P218" s="387">
        <f t="shared" si="8"/>
        <v>0</v>
      </c>
    </row>
    <row r="219" spans="2:16" ht="15" hidden="1">
      <c r="B219" s="32"/>
      <c r="C219" s="32"/>
      <c r="D219" s="32"/>
      <c r="E219" s="32"/>
      <c r="F219" s="32"/>
      <c r="G219" s="32"/>
      <c r="H219" s="32"/>
      <c r="I219" s="32"/>
      <c r="J219" s="32"/>
      <c r="K219" s="32"/>
      <c r="L219" s="18"/>
      <c r="M219" s="18"/>
      <c r="P219" s="387">
        <f t="shared" si="8"/>
        <v>0</v>
      </c>
    </row>
    <row r="220" spans="2:16" ht="15.75" thickTop="1">
      <c r="B220" s="32"/>
      <c r="C220" s="32"/>
      <c r="D220" s="32"/>
      <c r="E220" s="32"/>
      <c r="F220" s="32"/>
      <c r="G220" s="32"/>
      <c r="H220" s="32"/>
      <c r="I220" s="32"/>
      <c r="J220" s="32"/>
      <c r="K220" s="32"/>
      <c r="L220" s="18"/>
      <c r="M220" s="18"/>
      <c r="P220" s="387"/>
    </row>
    <row r="221" spans="2:16" ht="15.75">
      <c r="B221" s="34" t="s">
        <v>603</v>
      </c>
      <c r="C221" s="32"/>
      <c r="D221" s="32"/>
      <c r="E221" s="32"/>
      <c r="F221" s="32"/>
      <c r="G221" s="32"/>
      <c r="H221" s="32"/>
      <c r="I221" s="32"/>
      <c r="J221" s="32"/>
      <c r="K221" s="32"/>
      <c r="L221" s="18"/>
      <c r="M221" s="18"/>
      <c r="P221" s="387"/>
    </row>
    <row r="222" spans="2:16" ht="15">
      <c r="B222" s="32"/>
      <c r="C222" s="32"/>
      <c r="D222" s="32"/>
      <c r="E222" s="32"/>
      <c r="F222" s="32"/>
      <c r="G222" s="32"/>
      <c r="H222" s="32"/>
      <c r="I222" s="32"/>
      <c r="J222" s="32"/>
      <c r="K222" s="32"/>
      <c r="L222" s="18"/>
      <c r="M222" s="18"/>
      <c r="P222" s="387"/>
    </row>
    <row r="223" spans="2:16" ht="18.75">
      <c r="B223" s="32"/>
      <c r="C223" s="32"/>
      <c r="D223" s="32"/>
      <c r="E223" s="32"/>
      <c r="F223" s="32"/>
      <c r="G223" s="32"/>
      <c r="H223" s="63" t="s">
        <v>505</v>
      </c>
      <c r="I223" s="63" t="s">
        <v>505</v>
      </c>
      <c r="J223" s="63" t="s">
        <v>505</v>
      </c>
      <c r="K223" s="500" t="s">
        <v>535</v>
      </c>
      <c r="L223" s="500"/>
      <c r="M223" s="498" t="s">
        <v>535</v>
      </c>
      <c r="N223" s="498"/>
      <c r="P223" s="387"/>
    </row>
    <row r="224" spans="2:16" ht="18.75">
      <c r="B224" s="35" t="s">
        <v>415</v>
      </c>
      <c r="C224" s="32"/>
      <c r="D224" s="32"/>
      <c r="E224" s="32"/>
      <c r="F224" s="32"/>
      <c r="G224" s="32"/>
      <c r="H224" s="33">
        <v>2021</v>
      </c>
      <c r="I224" s="33">
        <v>2020</v>
      </c>
      <c r="J224" s="33">
        <v>2019</v>
      </c>
      <c r="K224" s="33">
        <v>2018</v>
      </c>
      <c r="L224" s="33"/>
      <c r="M224" s="62">
        <v>2017</v>
      </c>
      <c r="N224" s="62">
        <v>2016</v>
      </c>
      <c r="P224" s="387"/>
    </row>
    <row r="225" spans="2:17" ht="15">
      <c r="B225" s="32" t="s">
        <v>416</v>
      </c>
      <c r="C225" s="32"/>
      <c r="D225" s="32"/>
      <c r="E225" s="32"/>
      <c r="F225" s="32"/>
      <c r="G225" s="32"/>
      <c r="H225" s="18">
        <v>259178.4</v>
      </c>
      <c r="I225" s="18">
        <v>413715.5</v>
      </c>
      <c r="J225" s="18">
        <f>1021070.77+595559.35</f>
        <v>1616630.12</v>
      </c>
      <c r="K225" s="18">
        <f>1242000+11000</f>
        <v>1253000</v>
      </c>
      <c r="L225" s="18">
        <v>226755.6</v>
      </c>
      <c r="M225" s="18">
        <v>849641.08</v>
      </c>
      <c r="N225" s="18">
        <v>1463805.81</v>
      </c>
      <c r="P225" s="387">
        <f t="shared" si="8"/>
        <v>-154537.1</v>
      </c>
      <c r="Q225" s="315">
        <f>+P225/I225</f>
        <v>-0.3735347116557151</v>
      </c>
    </row>
    <row r="226" spans="2:17" ht="15">
      <c r="B226" s="32" t="s">
        <v>417</v>
      </c>
      <c r="C226" s="32"/>
      <c r="D226" s="32"/>
      <c r="E226" s="32"/>
      <c r="F226" s="32"/>
      <c r="G226" s="32"/>
      <c r="H226" s="18">
        <v>155000</v>
      </c>
      <c r="I226" s="18">
        <v>70000</v>
      </c>
      <c r="J226" s="18">
        <v>573660</v>
      </c>
      <c r="K226" s="18">
        <v>1098045.5</v>
      </c>
      <c r="L226" s="18">
        <v>525457.25</v>
      </c>
      <c r="M226" s="18">
        <v>857000</v>
      </c>
      <c r="N226" s="18">
        <v>355000</v>
      </c>
      <c r="P226" s="387">
        <f t="shared" si="8"/>
        <v>85000</v>
      </c>
      <c r="Q226" s="315">
        <f aca="true" t="shared" si="9" ref="Q226:Q252">+P226/I226</f>
        <v>1.2142857142857142</v>
      </c>
    </row>
    <row r="227" spans="2:17" ht="15">
      <c r="B227" s="32" t="s">
        <v>418</v>
      </c>
      <c r="C227" s="32"/>
      <c r="D227" s="32"/>
      <c r="E227" s="32"/>
      <c r="F227" s="32"/>
      <c r="G227" s="32"/>
      <c r="H227" s="18"/>
      <c r="I227" s="18">
        <v>320000</v>
      </c>
      <c r="J227" s="18"/>
      <c r="K227" s="18">
        <v>20000</v>
      </c>
      <c r="L227" s="18"/>
      <c r="M227" s="18"/>
      <c r="N227" s="18"/>
      <c r="P227" s="387">
        <f>+H228-I227</f>
        <v>-320000</v>
      </c>
      <c r="Q227" s="315">
        <f t="shared" si="9"/>
        <v>-1</v>
      </c>
    </row>
    <row r="228" spans="2:17" ht="15">
      <c r="B228" s="32" t="s">
        <v>428</v>
      </c>
      <c r="C228" s="32"/>
      <c r="D228" s="32"/>
      <c r="E228" s="32"/>
      <c r="F228" s="32"/>
      <c r="G228" s="32"/>
      <c r="H228" s="36"/>
      <c r="I228" s="36">
        <v>622.05</v>
      </c>
      <c r="J228" s="36"/>
      <c r="K228" s="36">
        <v>15704.63</v>
      </c>
      <c r="L228" s="18">
        <v>2475000</v>
      </c>
      <c r="M228" s="18"/>
      <c r="N228" s="18">
        <v>2700000</v>
      </c>
      <c r="P228" s="387">
        <f>+H228-I228</f>
        <v>-622.05</v>
      </c>
      <c r="Q228" s="315">
        <f t="shared" si="9"/>
        <v>-1</v>
      </c>
    </row>
    <row r="229" spans="2:17" ht="15">
      <c r="B229" s="32" t="s">
        <v>419</v>
      </c>
      <c r="C229" s="32"/>
      <c r="D229" s="32"/>
      <c r="E229" s="32"/>
      <c r="F229" s="32"/>
      <c r="G229" s="32"/>
      <c r="H229" s="18"/>
      <c r="I229" s="18"/>
      <c r="J229" s="98"/>
      <c r="K229" s="36"/>
      <c r="L229" s="36">
        <v>121000</v>
      </c>
      <c r="M229" s="36">
        <v>13500</v>
      </c>
      <c r="N229" s="36">
        <v>529473.22</v>
      </c>
      <c r="P229" s="387"/>
      <c r="Q229" s="315"/>
    </row>
    <row r="230" spans="2:17" ht="17.25" customHeight="1" thickBot="1">
      <c r="B230" s="32"/>
      <c r="C230" s="32"/>
      <c r="D230" s="32"/>
      <c r="E230" s="32"/>
      <c r="F230" s="32"/>
      <c r="G230" s="32"/>
      <c r="H230" s="90">
        <f>SUM(H225:H228)</f>
        <v>414178.4</v>
      </c>
      <c r="I230" s="90">
        <f>SUM(I225:I228)</f>
        <v>804337.55</v>
      </c>
      <c r="J230" s="90">
        <f>SUM(J225:J229)</f>
        <v>2190290.12</v>
      </c>
      <c r="K230" s="90">
        <f>SUM(K225:K229)</f>
        <v>2386750.13</v>
      </c>
      <c r="L230" s="90">
        <f>SUM(L225:L229)</f>
        <v>3348212.85</v>
      </c>
      <c r="M230" s="90">
        <f>SUM(M225:M229)</f>
        <v>1720141.08</v>
      </c>
      <c r="N230" s="48">
        <f>SUM(N225:N229)</f>
        <v>5048279.03</v>
      </c>
      <c r="P230" s="387">
        <f t="shared" si="8"/>
        <v>-390159.15</v>
      </c>
      <c r="Q230" s="315">
        <f t="shared" si="9"/>
        <v>-0.4850689241102818</v>
      </c>
    </row>
    <row r="231" spans="2:16" ht="15.75" thickTop="1">
      <c r="B231" s="32"/>
      <c r="C231" s="32"/>
      <c r="D231" s="32"/>
      <c r="E231" s="32"/>
      <c r="F231" s="32"/>
      <c r="G231" s="32"/>
      <c r="H231" s="32"/>
      <c r="I231" s="32"/>
      <c r="J231" s="32"/>
      <c r="K231" s="32"/>
      <c r="L231" s="18"/>
      <c r="M231" s="18"/>
      <c r="P231" s="387"/>
    </row>
    <row r="232" spans="2:16" ht="15" hidden="1">
      <c r="B232" s="32"/>
      <c r="C232" s="32"/>
      <c r="D232" s="32"/>
      <c r="E232" s="32"/>
      <c r="F232" s="32"/>
      <c r="G232" s="32"/>
      <c r="H232" s="32"/>
      <c r="I232" s="32"/>
      <c r="J232" s="32"/>
      <c r="K232" s="32"/>
      <c r="L232" s="18"/>
      <c r="M232" s="18"/>
      <c r="P232" s="387"/>
    </row>
    <row r="233" spans="2:16" ht="15" hidden="1">
      <c r="B233" s="32"/>
      <c r="C233" s="32"/>
      <c r="D233" s="32"/>
      <c r="E233" s="32"/>
      <c r="F233" s="32"/>
      <c r="G233" s="32"/>
      <c r="H233" s="32"/>
      <c r="I233" s="32"/>
      <c r="J233" s="32"/>
      <c r="K233" s="32"/>
      <c r="L233" s="18"/>
      <c r="M233" s="18"/>
      <c r="P233" s="387"/>
    </row>
    <row r="234" spans="2:16" ht="18.75" hidden="1">
      <c r="B234" s="35" t="s">
        <v>420</v>
      </c>
      <c r="C234" s="32"/>
      <c r="D234" s="32"/>
      <c r="E234" s="32"/>
      <c r="F234" s="32"/>
      <c r="G234" s="32"/>
      <c r="H234" s="32"/>
      <c r="I234" s="32"/>
      <c r="J234" s="32"/>
      <c r="K234" s="32"/>
      <c r="L234" s="18"/>
      <c r="M234" s="18"/>
      <c r="P234" s="387"/>
    </row>
    <row r="235" spans="2:16" ht="15" hidden="1">
      <c r="B235" s="32" t="s">
        <v>416</v>
      </c>
      <c r="C235" s="32"/>
      <c r="D235" s="32"/>
      <c r="E235" s="32"/>
      <c r="F235" s="32"/>
      <c r="G235" s="32"/>
      <c r="H235" s="32"/>
      <c r="I235" s="32"/>
      <c r="J235" s="32"/>
      <c r="K235" s="32"/>
      <c r="L235" s="18"/>
      <c r="M235" s="18"/>
      <c r="P235" s="387"/>
    </row>
    <row r="236" spans="2:16" ht="15" hidden="1">
      <c r="B236" s="32" t="s">
        <v>421</v>
      </c>
      <c r="C236" s="32"/>
      <c r="D236" s="32"/>
      <c r="E236" s="32"/>
      <c r="F236" s="32"/>
      <c r="G236" s="32"/>
      <c r="H236" s="32"/>
      <c r="I236" s="32"/>
      <c r="J236" s="32"/>
      <c r="K236" s="32"/>
      <c r="L236" s="18"/>
      <c r="M236" s="18"/>
      <c r="P236" s="387"/>
    </row>
    <row r="237" spans="2:16" ht="15" hidden="1">
      <c r="B237" s="32" t="s">
        <v>422</v>
      </c>
      <c r="C237" s="32"/>
      <c r="D237" s="32"/>
      <c r="E237" s="32"/>
      <c r="F237" s="32"/>
      <c r="G237" s="32"/>
      <c r="H237" s="32"/>
      <c r="I237" s="32"/>
      <c r="J237" s="32"/>
      <c r="K237" s="32"/>
      <c r="L237" s="18"/>
      <c r="M237" s="18"/>
      <c r="P237" s="387"/>
    </row>
    <row r="238" spans="2:16" ht="15" hidden="1">
      <c r="B238" s="32"/>
      <c r="C238" s="32"/>
      <c r="D238" s="32"/>
      <c r="E238" s="32"/>
      <c r="F238" s="32"/>
      <c r="G238" s="32"/>
      <c r="H238" s="32"/>
      <c r="I238" s="32"/>
      <c r="J238" s="32"/>
      <c r="K238" s="32"/>
      <c r="L238" s="18"/>
      <c r="M238" s="18"/>
      <c r="P238" s="387"/>
    </row>
    <row r="239" spans="2:16" ht="15">
      <c r="B239" s="32"/>
      <c r="C239" s="32"/>
      <c r="D239" s="32"/>
      <c r="E239" s="32"/>
      <c r="F239" s="32"/>
      <c r="G239" s="32"/>
      <c r="H239" s="32"/>
      <c r="I239" s="32"/>
      <c r="J239" s="32"/>
      <c r="K239" s="32"/>
      <c r="L239" s="18"/>
      <c r="M239" s="18"/>
      <c r="P239" s="387"/>
    </row>
    <row r="240" spans="2:16" ht="18.75">
      <c r="B240" s="35" t="s">
        <v>423</v>
      </c>
      <c r="C240" s="32"/>
      <c r="D240" s="32"/>
      <c r="E240" s="32"/>
      <c r="F240" s="32"/>
      <c r="G240" s="32"/>
      <c r="H240" s="32"/>
      <c r="I240" s="32"/>
      <c r="J240" s="32"/>
      <c r="K240" s="32"/>
      <c r="L240" s="18"/>
      <c r="M240" s="18"/>
      <c r="P240" s="387"/>
    </row>
    <row r="241" spans="2:17" ht="15">
      <c r="B241" s="32" t="s">
        <v>424</v>
      </c>
      <c r="C241" s="32"/>
      <c r="D241" s="32"/>
      <c r="E241" s="32"/>
      <c r="F241" s="32"/>
      <c r="G241" s="32"/>
      <c r="H241" s="18">
        <v>539545.13</v>
      </c>
      <c r="I241" s="18">
        <v>629962.96</v>
      </c>
      <c r="J241" s="14">
        <v>0</v>
      </c>
      <c r="K241" s="14">
        <v>720343.9</v>
      </c>
      <c r="L241" s="18">
        <v>789788.05</v>
      </c>
      <c r="M241" s="18">
        <v>815572.5</v>
      </c>
      <c r="N241" s="18">
        <v>260989.82</v>
      </c>
      <c r="P241" s="387">
        <f t="shared" si="8"/>
        <v>-90417.82999999996</v>
      </c>
      <c r="Q241" s="315">
        <f t="shared" si="9"/>
        <v>-0.14352880366172635</v>
      </c>
    </row>
    <row r="242" spans="2:17" ht="15" hidden="1">
      <c r="B242" s="32" t="s">
        <v>425</v>
      </c>
      <c r="C242" s="32"/>
      <c r="D242" s="32"/>
      <c r="E242" s="32"/>
      <c r="F242" s="32"/>
      <c r="G242" s="32"/>
      <c r="H242" s="32"/>
      <c r="I242" s="18"/>
      <c r="J242" s="14">
        <v>0</v>
      </c>
      <c r="K242" s="32"/>
      <c r="L242" s="18"/>
      <c r="M242" s="18"/>
      <c r="P242" s="387">
        <f t="shared" si="8"/>
        <v>0</v>
      </c>
      <c r="Q242" s="216" t="e">
        <f t="shared" si="9"/>
        <v>#DIV/0!</v>
      </c>
    </row>
    <row r="243" spans="2:17" ht="15" hidden="1">
      <c r="B243" s="32" t="s">
        <v>426</v>
      </c>
      <c r="C243" s="32"/>
      <c r="D243" s="32"/>
      <c r="E243" s="32"/>
      <c r="F243" s="32"/>
      <c r="G243" s="32"/>
      <c r="H243" s="32"/>
      <c r="I243" s="18"/>
      <c r="J243" s="32"/>
      <c r="K243" s="32"/>
      <c r="L243" s="18"/>
      <c r="M243" s="18"/>
      <c r="P243" s="387">
        <f t="shared" si="8"/>
        <v>0</v>
      </c>
      <c r="Q243" s="216" t="e">
        <f t="shared" si="9"/>
        <v>#DIV/0!</v>
      </c>
    </row>
    <row r="244" spans="2:16" ht="15">
      <c r="B244" s="32"/>
      <c r="C244" s="32"/>
      <c r="D244" s="32"/>
      <c r="E244" s="32"/>
      <c r="F244" s="32"/>
      <c r="G244" s="32"/>
      <c r="H244" s="32"/>
      <c r="I244" s="18"/>
      <c r="J244" s="98"/>
      <c r="K244" s="32"/>
      <c r="L244" s="18"/>
      <c r="M244" s="18"/>
      <c r="P244" s="387"/>
    </row>
    <row r="245" spans="2:17" ht="15.75" thickBot="1">
      <c r="B245" s="32"/>
      <c r="C245" s="32"/>
      <c r="D245" s="32"/>
      <c r="E245" s="32"/>
      <c r="F245" s="32"/>
      <c r="G245" s="32"/>
      <c r="H245" s="86">
        <f>SUM(H241:H244)</f>
        <v>539545.13</v>
      </c>
      <c r="I245" s="86">
        <f aca="true" t="shared" si="10" ref="I245:N245">SUM(I241:I244)</f>
        <v>629962.96</v>
      </c>
      <c r="J245" s="86">
        <f t="shared" si="10"/>
        <v>0</v>
      </c>
      <c r="K245" s="86">
        <f t="shared" si="10"/>
        <v>720343.9</v>
      </c>
      <c r="L245" s="86">
        <f t="shared" si="10"/>
        <v>789788.05</v>
      </c>
      <c r="M245" s="86">
        <f t="shared" si="10"/>
        <v>815572.5</v>
      </c>
      <c r="N245" s="37">
        <f t="shared" si="10"/>
        <v>260989.82</v>
      </c>
      <c r="P245" s="387">
        <f>+H245-I245</f>
        <v>-90417.82999999996</v>
      </c>
      <c r="Q245" s="315">
        <f t="shared" si="9"/>
        <v>-0.14352880366172635</v>
      </c>
    </row>
    <row r="246" spans="2:16" ht="15.75" thickTop="1">
      <c r="B246" s="32"/>
      <c r="C246" s="32"/>
      <c r="D246" s="32"/>
      <c r="E246" s="32"/>
      <c r="F246" s="32"/>
      <c r="G246" s="32"/>
      <c r="H246" s="32"/>
      <c r="I246" s="32"/>
      <c r="J246" s="32"/>
      <c r="K246" s="88"/>
      <c r="L246" s="91"/>
      <c r="M246" s="91"/>
      <c r="N246" s="5"/>
      <c r="P246" s="387"/>
    </row>
    <row r="247" spans="1:17" ht="15.75" thickBot="1">
      <c r="A247" s="9"/>
      <c r="B247" s="89" t="s">
        <v>577</v>
      </c>
      <c r="C247" s="89"/>
      <c r="D247" s="49"/>
      <c r="E247" s="49"/>
      <c r="F247" s="49"/>
      <c r="G247" s="49"/>
      <c r="H247" s="44">
        <f>+H230+H245</f>
        <v>953723.53</v>
      </c>
      <c r="I247" s="44">
        <f aca="true" t="shared" si="11" ref="I247:N247">+I230+I245</f>
        <v>1434300.51</v>
      </c>
      <c r="J247" s="44">
        <f t="shared" si="11"/>
        <v>2190290.12</v>
      </c>
      <c r="K247" s="44">
        <f t="shared" si="11"/>
        <v>3107094.03</v>
      </c>
      <c r="L247" s="44">
        <f t="shared" si="11"/>
        <v>4138000.9000000004</v>
      </c>
      <c r="M247" s="44">
        <f t="shared" si="11"/>
        <v>2535713.58</v>
      </c>
      <c r="N247" s="50">
        <f t="shared" si="11"/>
        <v>5309268.850000001</v>
      </c>
      <c r="P247" s="387">
        <f t="shared" si="8"/>
        <v>-480576.98</v>
      </c>
      <c r="Q247" s="315">
        <f t="shared" si="9"/>
        <v>-0.3350601750814409</v>
      </c>
    </row>
    <row r="248" spans="2:17" ht="19.5" hidden="1" thickTop="1">
      <c r="B248" s="35" t="s">
        <v>2</v>
      </c>
      <c r="C248" s="32"/>
      <c r="D248" s="32"/>
      <c r="E248" s="32"/>
      <c r="F248" s="32"/>
      <c r="G248" s="32"/>
      <c r="H248" s="32"/>
      <c r="I248" s="32"/>
      <c r="J248" s="32"/>
      <c r="K248" s="32"/>
      <c r="L248" s="18"/>
      <c r="M248" s="18"/>
      <c r="P248" s="387">
        <f t="shared" si="8"/>
        <v>0</v>
      </c>
      <c r="Q248" s="216" t="e">
        <f t="shared" si="9"/>
        <v>#DIV/0!</v>
      </c>
    </row>
    <row r="249" spans="2:17" ht="15" hidden="1">
      <c r="B249" s="32" t="s">
        <v>427</v>
      </c>
      <c r="C249" s="32"/>
      <c r="D249" s="32"/>
      <c r="E249" s="32"/>
      <c r="F249" s="32"/>
      <c r="G249" s="32"/>
      <c r="H249" s="32"/>
      <c r="I249" s="32"/>
      <c r="J249" s="32"/>
      <c r="K249" s="32"/>
      <c r="L249" s="18"/>
      <c r="M249" s="18"/>
      <c r="P249" s="387">
        <f t="shared" si="8"/>
        <v>0</v>
      </c>
      <c r="Q249" s="216" t="e">
        <f t="shared" si="9"/>
        <v>#DIV/0!</v>
      </c>
    </row>
    <row r="250" spans="2:17" ht="15" hidden="1">
      <c r="B250" s="32" t="s">
        <v>428</v>
      </c>
      <c r="C250" s="32"/>
      <c r="D250" s="32"/>
      <c r="E250" s="32"/>
      <c r="F250" s="32"/>
      <c r="G250" s="32"/>
      <c r="H250" s="32"/>
      <c r="I250" s="32"/>
      <c r="J250" s="32"/>
      <c r="K250" s="32"/>
      <c r="L250" s="18"/>
      <c r="M250" s="18"/>
      <c r="P250" s="387">
        <f t="shared" si="8"/>
        <v>0</v>
      </c>
      <c r="Q250" s="216" t="e">
        <f t="shared" si="9"/>
        <v>#DIV/0!</v>
      </c>
    </row>
    <row r="251" spans="2:17" ht="15" hidden="1">
      <c r="B251" s="32" t="s">
        <v>429</v>
      </c>
      <c r="C251" s="32"/>
      <c r="D251" s="32"/>
      <c r="E251" s="32"/>
      <c r="F251" s="32"/>
      <c r="G251" s="32"/>
      <c r="H251" s="32"/>
      <c r="I251" s="32"/>
      <c r="J251" s="32"/>
      <c r="K251" s="32"/>
      <c r="L251" s="18"/>
      <c r="M251" s="18"/>
      <c r="P251" s="387">
        <f t="shared" si="8"/>
        <v>0</v>
      </c>
      <c r="Q251" s="216" t="e">
        <f t="shared" si="9"/>
        <v>#DIV/0!</v>
      </c>
    </row>
    <row r="252" spans="2:17" ht="15" hidden="1">
      <c r="B252" s="32"/>
      <c r="C252" s="32"/>
      <c r="D252" s="32"/>
      <c r="E252" s="32"/>
      <c r="F252" s="32"/>
      <c r="G252" s="32"/>
      <c r="H252" s="32"/>
      <c r="I252" s="32"/>
      <c r="J252" s="32"/>
      <c r="K252" s="32"/>
      <c r="L252" s="18"/>
      <c r="M252" s="18"/>
      <c r="P252" s="387">
        <f t="shared" si="8"/>
        <v>0</v>
      </c>
      <c r="Q252" s="216" t="e">
        <f t="shared" si="9"/>
        <v>#DIV/0!</v>
      </c>
    </row>
    <row r="253" spans="2:16" ht="15.75" thickTop="1">
      <c r="B253" s="32"/>
      <c r="C253" s="32"/>
      <c r="D253" s="32"/>
      <c r="E253" s="32"/>
      <c r="F253" s="32"/>
      <c r="G253" s="32"/>
      <c r="H253" s="32"/>
      <c r="I253" s="32"/>
      <c r="J253" s="32"/>
      <c r="K253" s="32"/>
      <c r="L253" s="18"/>
      <c r="M253" s="18"/>
      <c r="P253" s="387"/>
    </row>
    <row r="254" spans="2:16" ht="18.75">
      <c r="B254" s="33"/>
      <c r="C254" s="32"/>
      <c r="D254" s="32"/>
      <c r="E254" s="32"/>
      <c r="F254" s="32"/>
      <c r="G254" s="32"/>
      <c r="H254" s="32"/>
      <c r="I254" s="32"/>
      <c r="J254" s="32"/>
      <c r="K254" s="32"/>
      <c r="L254" s="18"/>
      <c r="M254" s="18"/>
      <c r="P254" s="387"/>
    </row>
    <row r="255" spans="1:13" ht="18.75">
      <c r="A255" s="34" t="s">
        <v>605</v>
      </c>
      <c r="B255" s="33"/>
      <c r="C255" s="32"/>
      <c r="D255" s="32"/>
      <c r="E255" s="32"/>
      <c r="F255" s="32"/>
      <c r="G255" s="32"/>
      <c r="H255" s="32"/>
      <c r="I255" s="32"/>
      <c r="J255" s="32"/>
      <c r="K255" s="32"/>
      <c r="L255" s="33"/>
      <c r="M255" s="33"/>
    </row>
    <row r="256" spans="2:14" ht="24" customHeight="1">
      <c r="B256" s="32"/>
      <c r="C256" s="32"/>
      <c r="D256" s="32"/>
      <c r="E256" s="32"/>
      <c r="F256" s="32"/>
      <c r="G256" s="32"/>
      <c r="H256" s="63" t="s">
        <v>505</v>
      </c>
      <c r="I256" s="63" t="s">
        <v>505</v>
      </c>
      <c r="J256" s="63" t="s">
        <v>505</v>
      </c>
      <c r="K256" s="500" t="s">
        <v>535</v>
      </c>
      <c r="L256" s="500"/>
      <c r="M256" s="498" t="s">
        <v>535</v>
      </c>
      <c r="N256" s="498"/>
    </row>
    <row r="257" spans="2:14" ht="18.75">
      <c r="B257" s="35" t="s">
        <v>3</v>
      </c>
      <c r="C257" s="32"/>
      <c r="D257" s="32"/>
      <c r="E257" s="32"/>
      <c r="F257" s="32"/>
      <c r="G257" s="32"/>
      <c r="H257" s="33">
        <v>2021</v>
      </c>
      <c r="I257" s="33">
        <v>2020</v>
      </c>
      <c r="J257" s="33">
        <v>2019</v>
      </c>
      <c r="K257" s="33">
        <v>2018</v>
      </c>
      <c r="L257" s="33"/>
      <c r="M257" s="33">
        <v>2017</v>
      </c>
      <c r="N257" s="62">
        <v>2016</v>
      </c>
    </row>
    <row r="258" spans="2:17" ht="15">
      <c r="B258" s="32" t="s">
        <v>413</v>
      </c>
      <c r="C258" s="32"/>
      <c r="D258" s="32"/>
      <c r="E258" s="32"/>
      <c r="F258" s="32"/>
      <c r="G258" s="32"/>
      <c r="H258" s="56">
        <v>293427.76</v>
      </c>
      <c r="I258" s="56">
        <v>293387.76</v>
      </c>
      <c r="J258" s="56">
        <v>293387.76</v>
      </c>
      <c r="K258" s="18">
        <v>293387.65</v>
      </c>
      <c r="L258" s="18">
        <v>293387.64</v>
      </c>
      <c r="M258" s="18">
        <v>293387.64</v>
      </c>
      <c r="N258" s="54">
        <v>293387.64</v>
      </c>
      <c r="P258" s="387">
        <f>+H258-I258</f>
        <v>40</v>
      </c>
      <c r="Q258" s="315">
        <f>+P258/I258</f>
        <v>0.00013633833940447957</v>
      </c>
    </row>
    <row r="259" spans="2:17" ht="15">
      <c r="B259" s="32" t="s">
        <v>430</v>
      </c>
      <c r="C259" s="32"/>
      <c r="D259" s="32"/>
      <c r="E259" s="32"/>
      <c r="F259" s="32"/>
      <c r="G259" s="32"/>
      <c r="H259" s="56">
        <v>1743774.82</v>
      </c>
      <c r="I259" s="56">
        <v>2279339.02</v>
      </c>
      <c r="J259" s="56">
        <v>344596.85</v>
      </c>
      <c r="K259" s="18">
        <v>344596.85</v>
      </c>
      <c r="L259" s="18">
        <v>842607.56</v>
      </c>
      <c r="M259" s="18">
        <v>604399.08</v>
      </c>
      <c r="N259" s="18">
        <v>776384.03</v>
      </c>
      <c r="P259" s="387">
        <f aca="true" t="shared" si="12" ref="P259:P325">+H259-I259</f>
        <v>-535564.2</v>
      </c>
      <c r="Q259" s="315">
        <f aca="true" t="shared" si="13" ref="Q259:Q325">+P259/I259</f>
        <v>-0.23496469603718712</v>
      </c>
    </row>
    <row r="260" spans="2:17" ht="15" hidden="1">
      <c r="B260" s="32" t="s">
        <v>431</v>
      </c>
      <c r="C260" s="32"/>
      <c r="D260" s="32"/>
      <c r="E260" s="32"/>
      <c r="F260" s="32"/>
      <c r="G260" s="32"/>
      <c r="H260" s="32"/>
      <c r="I260" s="56"/>
      <c r="J260" s="56"/>
      <c r="K260" s="18"/>
      <c r="L260" s="18"/>
      <c r="M260" s="18"/>
      <c r="N260" s="18"/>
      <c r="P260" s="387">
        <f t="shared" si="12"/>
        <v>0</v>
      </c>
      <c r="Q260" s="315" t="e">
        <f t="shared" si="13"/>
        <v>#DIV/0!</v>
      </c>
    </row>
    <row r="261" spans="2:17" ht="15">
      <c r="B261" s="32" t="s">
        <v>533</v>
      </c>
      <c r="C261" s="32"/>
      <c r="D261" s="32"/>
      <c r="E261" s="32"/>
      <c r="F261" s="32"/>
      <c r="G261" s="32"/>
      <c r="H261" s="56"/>
      <c r="I261" s="56">
        <v>41300.04</v>
      </c>
      <c r="J261" s="56">
        <v>41300</v>
      </c>
      <c r="K261" s="18">
        <v>41300</v>
      </c>
      <c r="L261" s="18">
        <v>4492.58</v>
      </c>
      <c r="M261" s="18">
        <v>41300</v>
      </c>
      <c r="N261" s="18">
        <v>14175.09</v>
      </c>
      <c r="P261" s="387">
        <f t="shared" si="12"/>
        <v>-41300.04</v>
      </c>
      <c r="Q261" s="315">
        <f t="shared" si="13"/>
        <v>-1</v>
      </c>
    </row>
    <row r="262" spans="2:17" ht="15">
      <c r="B262" s="32" t="s">
        <v>432</v>
      </c>
      <c r="C262" s="32"/>
      <c r="D262" s="32"/>
      <c r="E262" s="32"/>
      <c r="F262" s="32"/>
      <c r="G262" s="32"/>
      <c r="H262" s="56">
        <v>385807.79</v>
      </c>
      <c r="I262" s="56">
        <v>481272.5</v>
      </c>
      <c r="J262" s="56">
        <v>277104.14</v>
      </c>
      <c r="K262" s="18">
        <v>277104.14</v>
      </c>
      <c r="L262" s="18">
        <v>267603.98</v>
      </c>
      <c r="M262" s="18">
        <v>299510.11</v>
      </c>
      <c r="N262" s="18">
        <v>313789.64</v>
      </c>
      <c r="P262" s="387">
        <f t="shared" si="12"/>
        <v>-95464.71000000002</v>
      </c>
      <c r="Q262" s="315">
        <f t="shared" si="13"/>
        <v>-0.19835895464627631</v>
      </c>
    </row>
    <row r="263" spans="2:17" ht="15">
      <c r="B263" s="32" t="s">
        <v>4</v>
      </c>
      <c r="C263" s="32"/>
      <c r="D263" s="32"/>
      <c r="E263" s="32"/>
      <c r="F263" s="32"/>
      <c r="G263" s="32"/>
      <c r="H263" s="56">
        <v>483.72</v>
      </c>
      <c r="I263" s="56">
        <v>6354.23</v>
      </c>
      <c r="J263" s="56">
        <v>11741</v>
      </c>
      <c r="K263" s="18">
        <v>11741</v>
      </c>
      <c r="L263" s="18">
        <v>2064.05</v>
      </c>
      <c r="M263" s="18">
        <v>11741</v>
      </c>
      <c r="N263" s="18">
        <v>8136.53</v>
      </c>
      <c r="P263" s="387">
        <f t="shared" si="12"/>
        <v>-5870.509999999999</v>
      </c>
      <c r="Q263" s="315">
        <f t="shared" si="13"/>
        <v>-0.923874332531243</v>
      </c>
    </row>
    <row r="264" spans="2:17" ht="15">
      <c r="B264" s="32" t="s">
        <v>433</v>
      </c>
      <c r="C264" s="32"/>
      <c r="D264" s="32"/>
      <c r="E264" s="32"/>
      <c r="F264" s="32"/>
      <c r="G264" s="32"/>
      <c r="H264" s="56">
        <v>6707.2</v>
      </c>
      <c r="I264" s="56">
        <v>7537.44</v>
      </c>
      <c r="J264" s="56">
        <v>5739.75</v>
      </c>
      <c r="K264" s="18">
        <v>5739.75</v>
      </c>
      <c r="L264" s="18">
        <v>5847.42</v>
      </c>
      <c r="M264" s="18">
        <v>4338.18</v>
      </c>
      <c r="N264" s="18">
        <v>4709.69</v>
      </c>
      <c r="P264" s="387">
        <f t="shared" si="12"/>
        <v>-830.2399999999998</v>
      </c>
      <c r="Q264" s="315">
        <f t="shared" si="13"/>
        <v>-0.1101488038379078</v>
      </c>
    </row>
    <row r="265" spans="2:17" ht="15">
      <c r="B265" s="32" t="s">
        <v>434</v>
      </c>
      <c r="C265" s="32"/>
      <c r="D265" s="32"/>
      <c r="E265" s="32"/>
      <c r="F265" s="32"/>
      <c r="G265" s="32"/>
      <c r="H265" s="56">
        <v>87006.83</v>
      </c>
      <c r="I265" s="56">
        <v>122194.64</v>
      </c>
      <c r="J265" s="56">
        <v>190841.05</v>
      </c>
      <c r="K265" s="18">
        <v>190841.05</v>
      </c>
      <c r="L265" s="18">
        <v>146402.64</v>
      </c>
      <c r="M265" s="18">
        <v>186685.5</v>
      </c>
      <c r="N265" s="18">
        <v>201992.53</v>
      </c>
      <c r="P265" s="387">
        <f t="shared" si="12"/>
        <v>-35187.81</v>
      </c>
      <c r="Q265" s="315">
        <f t="shared" si="13"/>
        <v>-0.28796524953958696</v>
      </c>
    </row>
    <row r="266" spans="2:17" ht="15">
      <c r="B266" s="32" t="s">
        <v>435</v>
      </c>
      <c r="C266" s="32"/>
      <c r="D266" s="32"/>
      <c r="E266" s="32"/>
      <c r="F266" s="32"/>
      <c r="G266" s="32"/>
      <c r="H266" s="56">
        <v>804360.56</v>
      </c>
      <c r="I266" s="56">
        <v>475143.09</v>
      </c>
      <c r="J266" s="56">
        <v>132452.82</v>
      </c>
      <c r="K266" s="18">
        <v>132452.82</v>
      </c>
      <c r="L266" s="18">
        <v>154617.3</v>
      </c>
      <c r="M266" s="18">
        <v>81484.47</v>
      </c>
      <c r="N266" s="18">
        <v>74114.59</v>
      </c>
      <c r="P266" s="387">
        <f t="shared" si="12"/>
        <v>329217.47000000003</v>
      </c>
      <c r="Q266" s="315">
        <f t="shared" si="13"/>
        <v>0.6928806856898624</v>
      </c>
    </row>
    <row r="267" spans="2:17" ht="15">
      <c r="B267" s="32" t="s">
        <v>436</v>
      </c>
      <c r="C267" s="32"/>
      <c r="D267" s="32"/>
      <c r="E267" s="32"/>
      <c r="F267" s="32"/>
      <c r="G267" s="32"/>
      <c r="H267" s="56">
        <v>3801.68</v>
      </c>
      <c r="I267" s="56">
        <v>26780.31</v>
      </c>
      <c r="J267" s="56">
        <v>17860.04</v>
      </c>
      <c r="K267" s="18">
        <v>17860.04</v>
      </c>
      <c r="L267" s="18">
        <v>8502.95</v>
      </c>
      <c r="M267" s="18">
        <v>8532.47</v>
      </c>
      <c r="N267" s="18">
        <v>5948.25</v>
      </c>
      <c r="P267" s="387">
        <f t="shared" si="12"/>
        <v>-22978.63</v>
      </c>
      <c r="Q267" s="315">
        <f t="shared" si="13"/>
        <v>-0.8580419718815802</v>
      </c>
    </row>
    <row r="268" spans="2:17" ht="15" hidden="1">
      <c r="B268" s="32" t="s">
        <v>437</v>
      </c>
      <c r="C268" s="32"/>
      <c r="D268" s="32"/>
      <c r="E268" s="32"/>
      <c r="F268" s="32"/>
      <c r="G268" s="32"/>
      <c r="H268" s="56"/>
      <c r="I268" s="56"/>
      <c r="J268" s="56"/>
      <c r="K268" s="18"/>
      <c r="L268" s="18"/>
      <c r="M268" s="18"/>
      <c r="N268" s="18"/>
      <c r="P268" s="387">
        <f t="shared" si="12"/>
        <v>0</v>
      </c>
      <c r="Q268" s="315" t="e">
        <f t="shared" si="13"/>
        <v>#DIV/0!</v>
      </c>
    </row>
    <row r="269" spans="2:17" ht="15" hidden="1">
      <c r="B269" s="32" t="s">
        <v>438</v>
      </c>
      <c r="C269" s="32"/>
      <c r="D269" s="32"/>
      <c r="E269" s="32"/>
      <c r="F269" s="32"/>
      <c r="G269" s="32"/>
      <c r="H269" s="56"/>
      <c r="I269" s="56"/>
      <c r="J269" s="56"/>
      <c r="K269" s="18"/>
      <c r="L269" s="18"/>
      <c r="M269" s="18"/>
      <c r="N269" s="18"/>
      <c r="P269" s="387">
        <f t="shared" si="12"/>
        <v>0</v>
      </c>
      <c r="Q269" s="315" t="e">
        <f t="shared" si="13"/>
        <v>#DIV/0!</v>
      </c>
    </row>
    <row r="270" spans="2:17" ht="15">
      <c r="B270" s="32" t="s">
        <v>527</v>
      </c>
      <c r="C270" s="32"/>
      <c r="D270" s="32"/>
      <c r="E270" s="32"/>
      <c r="F270" s="32"/>
      <c r="G270" s="32"/>
      <c r="H270" s="56">
        <v>2499.96</v>
      </c>
      <c r="I270" s="56">
        <v>60465.48</v>
      </c>
      <c r="J270" s="56">
        <v>84593.66</v>
      </c>
      <c r="K270" s="18">
        <v>84593.66</v>
      </c>
      <c r="L270" s="18"/>
      <c r="M270" s="18">
        <v>84593.66</v>
      </c>
      <c r="N270" s="18">
        <v>49346.3</v>
      </c>
      <c r="P270" s="387">
        <f t="shared" si="12"/>
        <v>-57965.520000000004</v>
      </c>
      <c r="Q270" s="315">
        <f t="shared" si="13"/>
        <v>-0.95865475639985</v>
      </c>
    </row>
    <row r="271" spans="2:17" ht="15" hidden="1">
      <c r="B271" s="32" t="s">
        <v>434</v>
      </c>
      <c r="C271" s="32"/>
      <c r="D271" s="32"/>
      <c r="E271" s="32"/>
      <c r="F271" s="32"/>
      <c r="G271" s="32"/>
      <c r="H271" s="56"/>
      <c r="I271" s="56"/>
      <c r="J271" s="56"/>
      <c r="K271" s="18"/>
      <c r="L271" s="18">
        <v>1495.31</v>
      </c>
      <c r="M271" s="18"/>
      <c r="N271" s="18">
        <v>271.87</v>
      </c>
      <c r="P271" s="387">
        <f t="shared" si="12"/>
        <v>0</v>
      </c>
      <c r="Q271" s="315" t="e">
        <f t="shared" si="13"/>
        <v>#DIV/0!</v>
      </c>
    </row>
    <row r="272" spans="2:17" ht="15">
      <c r="B272" s="32" t="s">
        <v>439</v>
      </c>
      <c r="C272" s="32"/>
      <c r="D272" s="32"/>
      <c r="E272" s="32"/>
      <c r="F272" s="32"/>
      <c r="G272" s="32"/>
      <c r="H272" s="56"/>
      <c r="I272" s="56">
        <v>2242.07</v>
      </c>
      <c r="J272" s="56">
        <v>3702.48</v>
      </c>
      <c r="K272" s="18">
        <v>3702.54</v>
      </c>
      <c r="L272" s="18">
        <v>4250</v>
      </c>
      <c r="M272" s="18">
        <v>4410.88</v>
      </c>
      <c r="N272" s="18">
        <v>4357.25</v>
      </c>
      <c r="P272" s="387">
        <f t="shared" si="12"/>
        <v>-2242.07</v>
      </c>
      <c r="Q272" s="315">
        <f t="shared" si="13"/>
        <v>-1</v>
      </c>
    </row>
    <row r="273" spans="2:17" ht="15">
      <c r="B273" s="32" t="s">
        <v>440</v>
      </c>
      <c r="C273" s="32"/>
      <c r="D273" s="32"/>
      <c r="E273" s="32"/>
      <c r="F273" s="32"/>
      <c r="G273" s="32"/>
      <c r="H273" s="56">
        <v>3499.92</v>
      </c>
      <c r="I273" s="56">
        <v>11768.21</v>
      </c>
      <c r="J273" s="56">
        <v>57556.91</v>
      </c>
      <c r="K273" s="18">
        <v>57556.91</v>
      </c>
      <c r="L273" s="18">
        <v>12954.5</v>
      </c>
      <c r="M273" s="18">
        <v>30201.43</v>
      </c>
      <c r="N273" s="18">
        <v>14968.36</v>
      </c>
      <c r="P273" s="387">
        <f t="shared" si="12"/>
        <v>-8268.289999999999</v>
      </c>
      <c r="Q273" s="315">
        <f t="shared" si="13"/>
        <v>-0.7025953819654815</v>
      </c>
    </row>
    <row r="274" spans="2:17" ht="15">
      <c r="B274" s="32" t="s">
        <v>534</v>
      </c>
      <c r="C274" s="32"/>
      <c r="D274" s="32"/>
      <c r="E274" s="32"/>
      <c r="F274" s="32"/>
      <c r="G274" s="32"/>
      <c r="H274" s="56">
        <v>0</v>
      </c>
      <c r="I274" s="56">
        <v>8052.9</v>
      </c>
      <c r="J274" s="56">
        <v>16105.7</v>
      </c>
      <c r="K274" s="18">
        <v>16105.7</v>
      </c>
      <c r="L274" s="18"/>
      <c r="M274" s="18">
        <v>4026.42</v>
      </c>
      <c r="N274" s="18"/>
      <c r="P274" s="387">
        <f t="shared" si="12"/>
        <v>-8052.9</v>
      </c>
      <c r="Q274" s="315">
        <f t="shared" si="13"/>
        <v>-1</v>
      </c>
    </row>
    <row r="275" spans="2:17" ht="15" hidden="1">
      <c r="B275" s="32" t="s">
        <v>441</v>
      </c>
      <c r="C275" s="32"/>
      <c r="D275" s="32"/>
      <c r="E275" s="32"/>
      <c r="F275" s="32"/>
      <c r="G275" s="32"/>
      <c r="H275" s="56"/>
      <c r="I275" s="56"/>
      <c r="J275" s="56"/>
      <c r="K275" s="18"/>
      <c r="L275" s="18">
        <v>688.75</v>
      </c>
      <c r="M275" s="18"/>
      <c r="N275" s="18"/>
      <c r="P275" s="387">
        <f t="shared" si="12"/>
        <v>0</v>
      </c>
      <c r="Q275" s="315" t="e">
        <f t="shared" si="13"/>
        <v>#DIV/0!</v>
      </c>
    </row>
    <row r="276" spans="2:17" ht="15">
      <c r="B276" s="32" t="s">
        <v>528</v>
      </c>
      <c r="C276" s="32"/>
      <c r="D276" s="32"/>
      <c r="E276" s="32"/>
      <c r="F276" s="32"/>
      <c r="G276" s="32"/>
      <c r="H276" s="56"/>
      <c r="I276" s="56">
        <v>1405.13</v>
      </c>
      <c r="J276" s="56">
        <v>2720.99</v>
      </c>
      <c r="K276" s="18">
        <v>2720.99</v>
      </c>
      <c r="L276" s="18"/>
      <c r="M276" s="18">
        <v>1222.68</v>
      </c>
      <c r="N276" s="18">
        <v>229.58</v>
      </c>
      <c r="P276" s="387">
        <f t="shared" si="12"/>
        <v>-1405.13</v>
      </c>
      <c r="Q276" s="315">
        <f t="shared" si="13"/>
        <v>-1</v>
      </c>
    </row>
    <row r="277" spans="2:17" ht="15">
      <c r="B277" s="32" t="s">
        <v>434</v>
      </c>
      <c r="C277" s="32"/>
      <c r="D277" s="32"/>
      <c r="E277" s="32"/>
      <c r="F277" s="32"/>
      <c r="G277" s="32"/>
      <c r="H277" s="56"/>
      <c r="I277" s="56">
        <v>25978.68</v>
      </c>
      <c r="J277" s="56"/>
      <c r="K277" s="18"/>
      <c r="L277" s="18">
        <v>1495.31</v>
      </c>
      <c r="M277" s="18"/>
      <c r="N277" s="18">
        <v>271.87</v>
      </c>
      <c r="P277" s="387">
        <f t="shared" si="12"/>
        <v>-25978.68</v>
      </c>
      <c r="Q277" s="315">
        <f t="shared" si="13"/>
        <v>-1</v>
      </c>
    </row>
    <row r="278" spans="2:17" ht="15">
      <c r="B278" s="32" t="s">
        <v>442</v>
      </c>
      <c r="C278" s="32"/>
      <c r="D278" s="32"/>
      <c r="E278" s="32"/>
      <c r="F278" s="32"/>
      <c r="G278" s="32"/>
      <c r="H278" s="56">
        <v>12639.24</v>
      </c>
      <c r="I278" s="56">
        <v>1233.18</v>
      </c>
      <c r="J278" s="56"/>
      <c r="K278" s="18"/>
      <c r="L278" s="18">
        <v>31918.1</v>
      </c>
      <c r="M278" s="18"/>
      <c r="N278" s="18"/>
      <c r="P278" s="387">
        <f t="shared" si="12"/>
        <v>11406.06</v>
      </c>
      <c r="Q278" s="315">
        <f t="shared" si="13"/>
        <v>9.249306670559042</v>
      </c>
    </row>
    <row r="279" spans="2:17" ht="15">
      <c r="B279" s="32" t="s">
        <v>443</v>
      </c>
      <c r="C279" s="32"/>
      <c r="D279" s="32"/>
      <c r="E279" s="32"/>
      <c r="F279" s="32"/>
      <c r="G279" s="32"/>
      <c r="H279" s="56">
        <v>4081.18</v>
      </c>
      <c r="I279" s="56">
        <v>10091</v>
      </c>
      <c r="J279" s="56">
        <v>0</v>
      </c>
      <c r="K279" s="18">
        <v>0</v>
      </c>
      <c r="L279" s="18">
        <v>48314.74</v>
      </c>
      <c r="M279" s="18">
        <v>2374.75</v>
      </c>
      <c r="N279" s="18">
        <v>19271.1</v>
      </c>
      <c r="P279" s="387">
        <f>+H279-I279</f>
        <v>-6009.82</v>
      </c>
      <c r="Q279" s="315">
        <f t="shared" si="13"/>
        <v>-0.59556238232088</v>
      </c>
    </row>
    <row r="280" spans="2:20" s="5" customFormat="1" ht="15">
      <c r="B280" s="32" t="s">
        <v>696</v>
      </c>
      <c r="C280" s="32"/>
      <c r="D280" s="32"/>
      <c r="E280" s="32"/>
      <c r="F280" s="32"/>
      <c r="G280" s="32"/>
      <c r="H280" s="56">
        <v>1069.6</v>
      </c>
      <c r="I280" s="56"/>
      <c r="J280" s="56"/>
      <c r="K280" s="18"/>
      <c r="L280" s="18"/>
      <c r="M280" s="18"/>
      <c r="N280" s="18"/>
      <c r="P280" s="387">
        <f aca="true" t="shared" si="14" ref="P280:P287">+H280-I280</f>
        <v>1069.6</v>
      </c>
      <c r="Q280" s="315" t="e">
        <f t="shared" si="13"/>
        <v>#DIV/0!</v>
      </c>
      <c r="R280" s="216"/>
      <c r="S280" s="216"/>
      <c r="T280" s="216"/>
    </row>
    <row r="281" spans="2:17" ht="15">
      <c r="B281" s="32" t="s">
        <v>444</v>
      </c>
      <c r="C281" s="32"/>
      <c r="D281" s="32"/>
      <c r="E281" s="32"/>
      <c r="F281" s="32"/>
      <c r="G281" s="32"/>
      <c r="H281" s="56"/>
      <c r="I281" s="56">
        <v>137.7</v>
      </c>
      <c r="J281" s="56"/>
      <c r="K281" s="18"/>
      <c r="L281" s="18">
        <v>688.75</v>
      </c>
      <c r="M281" s="18"/>
      <c r="N281" s="18">
        <v>229.58</v>
      </c>
      <c r="P281" s="387">
        <f t="shared" si="14"/>
        <v>-137.7</v>
      </c>
      <c r="Q281" s="315">
        <f t="shared" si="13"/>
        <v>-1</v>
      </c>
    </row>
    <row r="282" spans="2:17" ht="15">
      <c r="B282" s="32" t="s">
        <v>276</v>
      </c>
      <c r="C282" s="32"/>
      <c r="D282" s="32"/>
      <c r="E282" s="32"/>
      <c r="F282" s="32"/>
      <c r="G282" s="32"/>
      <c r="H282" s="56"/>
      <c r="I282" s="56">
        <v>1629.24</v>
      </c>
      <c r="J282" s="56">
        <v>2443.86</v>
      </c>
      <c r="K282" s="18">
        <v>2443.78</v>
      </c>
      <c r="L282" s="18">
        <v>2986.86</v>
      </c>
      <c r="M282" s="18">
        <v>3258.4</v>
      </c>
      <c r="N282" s="18">
        <v>3258.4</v>
      </c>
      <c r="P282" s="387">
        <f t="shared" si="14"/>
        <v>-1629.24</v>
      </c>
      <c r="Q282" s="315">
        <f t="shared" si="13"/>
        <v>-1</v>
      </c>
    </row>
    <row r="283" spans="2:17" ht="15" hidden="1">
      <c r="B283" s="32" t="s">
        <v>478</v>
      </c>
      <c r="C283" s="32"/>
      <c r="D283" s="32"/>
      <c r="E283" s="32"/>
      <c r="F283" s="32"/>
      <c r="G283" s="32"/>
      <c r="H283" s="56"/>
      <c r="I283" s="56"/>
      <c r="J283" s="56"/>
      <c r="K283" s="18"/>
      <c r="L283" s="18"/>
      <c r="M283" s="18"/>
      <c r="N283" s="18"/>
      <c r="P283" s="387">
        <f t="shared" si="14"/>
        <v>0</v>
      </c>
      <c r="Q283" s="315" t="e">
        <f t="shared" si="13"/>
        <v>#DIV/0!</v>
      </c>
    </row>
    <row r="284" spans="2:17" ht="15" hidden="1">
      <c r="B284" s="32" t="s">
        <v>479</v>
      </c>
      <c r="C284" s="32"/>
      <c r="D284" s="32"/>
      <c r="E284" s="32"/>
      <c r="F284" s="32"/>
      <c r="G284" s="32"/>
      <c r="H284" s="56"/>
      <c r="I284" s="56"/>
      <c r="J284" s="56"/>
      <c r="K284" s="18"/>
      <c r="L284" s="18"/>
      <c r="M284" s="18"/>
      <c r="N284" s="18"/>
      <c r="P284" s="387">
        <f t="shared" si="14"/>
        <v>0</v>
      </c>
      <c r="Q284" s="315" t="e">
        <f t="shared" si="13"/>
        <v>#DIV/0!</v>
      </c>
    </row>
    <row r="285" spans="2:17" ht="15">
      <c r="B285" s="32" t="s">
        <v>445</v>
      </c>
      <c r="C285" s="32"/>
      <c r="D285" s="32"/>
      <c r="E285" s="32"/>
      <c r="F285" s="32"/>
      <c r="G285" s="32"/>
      <c r="H285" s="56"/>
      <c r="I285" s="56">
        <v>658.24</v>
      </c>
      <c r="J285" s="56">
        <v>375</v>
      </c>
      <c r="K285" s="18">
        <v>375</v>
      </c>
      <c r="L285" s="18">
        <v>8863.35</v>
      </c>
      <c r="M285" s="18">
        <v>375</v>
      </c>
      <c r="N285" s="18">
        <v>3182.85</v>
      </c>
      <c r="P285" s="387">
        <f t="shared" si="14"/>
        <v>-658.24</v>
      </c>
      <c r="Q285" s="315">
        <f t="shared" si="13"/>
        <v>-1</v>
      </c>
    </row>
    <row r="286" spans="2:17" ht="15">
      <c r="B286" s="32" t="s">
        <v>659</v>
      </c>
      <c r="C286" s="32"/>
      <c r="D286" s="32"/>
      <c r="E286" s="32"/>
      <c r="F286" s="32"/>
      <c r="G286" s="32"/>
      <c r="H286" s="56">
        <v>9894.6</v>
      </c>
      <c r="I286" s="56">
        <v>8245.57</v>
      </c>
      <c r="J286" s="56">
        <v>25620</v>
      </c>
      <c r="K286" s="18"/>
      <c r="L286" s="18"/>
      <c r="M286" s="18"/>
      <c r="N286" s="18"/>
      <c r="P286" s="387">
        <f t="shared" si="14"/>
        <v>1649.0300000000007</v>
      </c>
      <c r="Q286" s="315">
        <f t="shared" si="13"/>
        <v>0.19998981271155308</v>
      </c>
    </row>
    <row r="287" spans="2:17" ht="15">
      <c r="B287" s="32" t="s">
        <v>660</v>
      </c>
      <c r="C287" s="32"/>
      <c r="D287" s="32"/>
      <c r="E287" s="32"/>
      <c r="F287" s="32"/>
      <c r="G287" s="32"/>
      <c r="H287" s="56">
        <v>12339.72</v>
      </c>
      <c r="I287" s="56">
        <v>12339.65</v>
      </c>
      <c r="J287" s="59">
        <v>15434.56</v>
      </c>
      <c r="K287" s="18"/>
      <c r="L287" s="18"/>
      <c r="M287" s="18"/>
      <c r="N287" s="18"/>
      <c r="P287" s="387">
        <f t="shared" si="14"/>
        <v>0.06999999999970896</v>
      </c>
      <c r="Q287" s="315">
        <f t="shared" si="13"/>
        <v>5.672770297351138E-06</v>
      </c>
    </row>
    <row r="288" spans="2:17" ht="15">
      <c r="B288" s="32" t="s">
        <v>5</v>
      </c>
      <c r="C288" s="32"/>
      <c r="D288" s="32"/>
      <c r="E288" s="32"/>
      <c r="F288" s="32"/>
      <c r="G288" s="32"/>
      <c r="H288" s="56">
        <v>213247.92</v>
      </c>
      <c r="I288" s="56">
        <v>639743.88</v>
      </c>
      <c r="J288" s="56">
        <v>533120</v>
      </c>
      <c r="K288" s="18">
        <v>533120</v>
      </c>
      <c r="L288" s="18">
        <v>185504.37</v>
      </c>
      <c r="M288" s="18">
        <v>266560</v>
      </c>
      <c r="N288" s="18"/>
      <c r="P288" s="387">
        <f t="shared" si="12"/>
        <v>-426495.95999999996</v>
      </c>
      <c r="Q288" s="315">
        <f t="shared" si="13"/>
        <v>-0.6666667291916883</v>
      </c>
    </row>
    <row r="289" spans="1:20" s="5" customFormat="1" ht="15">
      <c r="A289" s="96" t="s">
        <v>97</v>
      </c>
      <c r="B289" s="32" t="s">
        <v>697</v>
      </c>
      <c r="C289" s="32"/>
      <c r="D289" s="32"/>
      <c r="E289" s="32"/>
      <c r="F289" s="32"/>
      <c r="G289" s="32"/>
      <c r="H289" s="56">
        <v>8211.83</v>
      </c>
      <c r="I289" s="56"/>
      <c r="J289" s="56"/>
      <c r="K289" s="18"/>
      <c r="L289" s="18"/>
      <c r="M289" s="18"/>
      <c r="N289" s="18"/>
      <c r="P289" s="387">
        <f t="shared" si="12"/>
        <v>8211.83</v>
      </c>
      <c r="Q289" s="315" t="e">
        <f t="shared" si="13"/>
        <v>#DIV/0!</v>
      </c>
      <c r="R289" s="216"/>
      <c r="S289" s="216"/>
      <c r="T289" s="216"/>
    </row>
    <row r="290" spans="2:17" ht="15">
      <c r="B290" s="32" t="s">
        <v>446</v>
      </c>
      <c r="C290" s="32"/>
      <c r="D290" s="32"/>
      <c r="E290" s="32"/>
      <c r="F290" s="32"/>
      <c r="G290" s="32"/>
      <c r="H290" s="56">
        <v>1018023.85</v>
      </c>
      <c r="I290" s="56">
        <v>864946.28</v>
      </c>
      <c r="J290" s="56">
        <v>749270.83</v>
      </c>
      <c r="K290" s="18">
        <v>749270.83</v>
      </c>
      <c r="L290" s="18">
        <v>611993.95</v>
      </c>
      <c r="M290" s="18"/>
      <c r="N290" s="18"/>
      <c r="O290" s="18">
        <f>SUM(I259:I287)</f>
        <v>3584168.3200000003</v>
      </c>
      <c r="P290" s="387">
        <f t="shared" si="12"/>
        <v>153077.56999999995</v>
      </c>
      <c r="Q290" s="315">
        <f t="shared" si="13"/>
        <v>0.17697928014673922</v>
      </c>
    </row>
    <row r="291" spans="2:17" ht="15" hidden="1">
      <c r="B291" s="32" t="s">
        <v>6</v>
      </c>
      <c r="C291" s="32"/>
      <c r="D291" s="32"/>
      <c r="E291" s="32"/>
      <c r="F291" s="32"/>
      <c r="G291" s="32"/>
      <c r="H291" s="56"/>
      <c r="I291" s="56"/>
      <c r="J291" s="56">
        <v>0</v>
      </c>
      <c r="K291" s="18">
        <v>0</v>
      </c>
      <c r="L291" s="18">
        <v>71200</v>
      </c>
      <c r="M291" s="18">
        <v>47466.68</v>
      </c>
      <c r="N291" s="18">
        <v>71200</v>
      </c>
      <c r="P291" s="387">
        <f t="shared" si="12"/>
        <v>0</v>
      </c>
      <c r="Q291" s="315" t="e">
        <f t="shared" si="13"/>
        <v>#DIV/0!</v>
      </c>
    </row>
    <row r="292" spans="1:20" s="5" customFormat="1" ht="15">
      <c r="A292" s="96" t="s">
        <v>97</v>
      </c>
      <c r="B292" s="32" t="s">
        <v>698</v>
      </c>
      <c r="C292" s="32"/>
      <c r="D292" s="32"/>
      <c r="E292" s="32"/>
      <c r="F292" s="32"/>
      <c r="G292" s="32"/>
      <c r="H292" s="56">
        <v>24846.66</v>
      </c>
      <c r="I292" s="56"/>
      <c r="J292" s="56"/>
      <c r="K292" s="18"/>
      <c r="L292" s="18"/>
      <c r="M292" s="18"/>
      <c r="N292" s="18"/>
      <c r="P292" s="387">
        <f t="shared" si="12"/>
        <v>24846.66</v>
      </c>
      <c r="Q292" s="315" t="e">
        <f t="shared" si="13"/>
        <v>#DIV/0!</v>
      </c>
      <c r="R292" s="216"/>
      <c r="S292" s="216"/>
      <c r="T292" s="216"/>
    </row>
    <row r="293" spans="2:17" ht="15">
      <c r="B293" s="32" t="s">
        <v>613</v>
      </c>
      <c r="C293" s="32"/>
      <c r="D293" s="32"/>
      <c r="E293" s="32"/>
      <c r="F293" s="32"/>
      <c r="G293" s="32"/>
      <c r="H293" s="56">
        <v>1859171.65</v>
      </c>
      <c r="I293" s="56">
        <v>1825554.85</v>
      </c>
      <c r="J293" s="56">
        <v>1297795.73</v>
      </c>
      <c r="K293" s="18">
        <v>1297795.73</v>
      </c>
      <c r="L293" s="18">
        <v>688932.45</v>
      </c>
      <c r="M293" s="18">
        <v>1256925.18</v>
      </c>
      <c r="N293" s="18">
        <v>746087.68</v>
      </c>
      <c r="O293" s="18">
        <f>SUM(I293:I335)</f>
        <v>3349244.249999999</v>
      </c>
      <c r="P293" s="387">
        <f t="shared" si="12"/>
        <v>33616.799999999814</v>
      </c>
      <c r="Q293" s="315">
        <f t="shared" si="13"/>
        <v>0.018414565851034174</v>
      </c>
    </row>
    <row r="294" spans="2:17" ht="15">
      <c r="B294" s="32" t="s">
        <v>447</v>
      </c>
      <c r="C294" s="32"/>
      <c r="D294" s="32"/>
      <c r="E294" s="32"/>
      <c r="F294" s="32"/>
      <c r="G294" s="32"/>
      <c r="H294" s="56">
        <v>184796.92</v>
      </c>
      <c r="I294" s="56">
        <v>216291.46</v>
      </c>
      <c r="J294" s="56">
        <v>139506.88</v>
      </c>
      <c r="K294" s="18">
        <v>139506.88</v>
      </c>
      <c r="L294" s="18">
        <v>111581.49</v>
      </c>
      <c r="M294" s="18">
        <v>136135.39</v>
      </c>
      <c r="N294" s="18">
        <v>120578.23</v>
      </c>
      <c r="O294" s="231">
        <f>+O290+O293</f>
        <v>6933412.569999999</v>
      </c>
      <c r="P294" s="387">
        <f t="shared" si="12"/>
        <v>-31494.53999999998</v>
      </c>
      <c r="Q294" s="315">
        <f t="shared" si="13"/>
        <v>-0.14561157430811175</v>
      </c>
    </row>
    <row r="295" spans="2:17" ht="15">
      <c r="B295" s="32" t="s">
        <v>448</v>
      </c>
      <c r="C295" s="32"/>
      <c r="D295" s="32"/>
      <c r="E295" s="32"/>
      <c r="F295" s="32"/>
      <c r="G295" s="32"/>
      <c r="H295" s="56">
        <v>48995.65</v>
      </c>
      <c r="I295" s="56">
        <v>58041.51</v>
      </c>
      <c r="J295" s="56">
        <v>40566.76</v>
      </c>
      <c r="K295" s="18">
        <v>40566.76</v>
      </c>
      <c r="L295" s="18">
        <v>2441.86</v>
      </c>
      <c r="M295" s="18">
        <v>7325.59</v>
      </c>
      <c r="N295" s="18">
        <v>7325.59</v>
      </c>
      <c r="P295" s="387">
        <f t="shared" si="12"/>
        <v>-9045.86</v>
      </c>
      <c r="Q295" s="315">
        <f t="shared" si="13"/>
        <v>-0.1558515620975402</v>
      </c>
    </row>
    <row r="296" spans="2:17" ht="15">
      <c r="B296" s="32" t="s">
        <v>449</v>
      </c>
      <c r="C296" s="32"/>
      <c r="D296" s="32"/>
      <c r="E296" s="32"/>
      <c r="F296" s="32"/>
      <c r="G296" s="32"/>
      <c r="H296" s="56">
        <v>45856.38</v>
      </c>
      <c r="I296" s="56">
        <v>75627.34</v>
      </c>
      <c r="J296" s="56">
        <v>25826.65</v>
      </c>
      <c r="K296" s="18">
        <v>25826.65</v>
      </c>
      <c r="L296" s="18">
        <v>71466.47</v>
      </c>
      <c r="M296" s="18">
        <v>50564.39</v>
      </c>
      <c r="N296" s="18">
        <v>60562.53</v>
      </c>
      <c r="P296" s="387">
        <f t="shared" si="12"/>
        <v>-29770.96</v>
      </c>
      <c r="Q296" s="315">
        <f t="shared" si="13"/>
        <v>-0.39365340629460194</v>
      </c>
    </row>
    <row r="297" spans="2:17" ht="15">
      <c r="B297" s="32" t="s">
        <v>450</v>
      </c>
      <c r="C297" s="32"/>
      <c r="D297" s="32"/>
      <c r="E297" s="32"/>
      <c r="F297" s="32"/>
      <c r="G297" s="32"/>
      <c r="H297" s="56">
        <v>77672.88</v>
      </c>
      <c r="I297" s="56">
        <f>211348.37+99.69</f>
        <v>211448.06</v>
      </c>
      <c r="J297" s="56">
        <v>331394.4</v>
      </c>
      <c r="K297" s="18">
        <v>331394.4</v>
      </c>
      <c r="L297" s="18">
        <v>720951.88</v>
      </c>
      <c r="M297" s="18">
        <v>681043.83</v>
      </c>
      <c r="N297" s="18">
        <v>899286.26</v>
      </c>
      <c r="P297" s="387">
        <f t="shared" si="12"/>
        <v>-133775.18</v>
      </c>
      <c r="Q297" s="315">
        <f t="shared" si="13"/>
        <v>-0.6326621298866492</v>
      </c>
    </row>
    <row r="298" spans="2:17" ht="15">
      <c r="B298" s="32" t="s">
        <v>614</v>
      </c>
      <c r="C298" s="32"/>
      <c r="D298" s="32"/>
      <c r="E298" s="32"/>
      <c r="F298" s="32"/>
      <c r="G298" s="32"/>
      <c r="H298" s="56">
        <v>132913.08</v>
      </c>
      <c r="I298" s="56">
        <v>81415.61</v>
      </c>
      <c r="J298" s="56">
        <v>69776.63</v>
      </c>
      <c r="K298" s="18">
        <v>69776.63</v>
      </c>
      <c r="L298" s="18">
        <v>4442.22</v>
      </c>
      <c r="M298" s="18">
        <v>69483.36</v>
      </c>
      <c r="N298" s="18">
        <v>33982.55</v>
      </c>
      <c r="P298" s="387">
        <f t="shared" si="12"/>
        <v>51497.46999999999</v>
      </c>
      <c r="Q298" s="315">
        <f t="shared" si="13"/>
        <v>0.6325257527395544</v>
      </c>
    </row>
    <row r="299" spans="2:17" ht="15">
      <c r="B299" s="32" t="s">
        <v>451</v>
      </c>
      <c r="C299" s="32"/>
      <c r="D299" s="32"/>
      <c r="E299" s="32"/>
      <c r="F299" s="32"/>
      <c r="G299" s="32"/>
      <c r="H299" s="56"/>
      <c r="I299" s="56">
        <v>8895.87</v>
      </c>
      <c r="J299" s="56">
        <v>13454.14</v>
      </c>
      <c r="K299" s="18">
        <v>13454.14</v>
      </c>
      <c r="L299" s="18">
        <v>11857.37</v>
      </c>
      <c r="M299" s="18">
        <v>8049.99</v>
      </c>
      <c r="N299" s="18">
        <v>398.75</v>
      </c>
      <c r="P299" s="387">
        <f t="shared" si="12"/>
        <v>-8895.87</v>
      </c>
      <c r="Q299" s="315">
        <f t="shared" si="13"/>
        <v>-1</v>
      </c>
    </row>
    <row r="300" spans="2:17" ht="15">
      <c r="B300" s="32" t="s">
        <v>587</v>
      </c>
      <c r="C300" s="32"/>
      <c r="D300" s="32"/>
      <c r="E300" s="32"/>
      <c r="F300" s="32"/>
      <c r="G300" s="32"/>
      <c r="H300" s="56">
        <v>38164.02</v>
      </c>
      <c r="I300" s="56">
        <v>28522.38</v>
      </c>
      <c r="J300" s="56">
        <v>14254.63</v>
      </c>
      <c r="K300" s="18">
        <v>14254.63</v>
      </c>
      <c r="L300" s="18"/>
      <c r="M300" s="18"/>
      <c r="N300" s="18"/>
      <c r="P300" s="387">
        <f t="shared" si="12"/>
        <v>9641.639999999996</v>
      </c>
      <c r="Q300" s="315">
        <f t="shared" si="13"/>
        <v>0.3380377093356163</v>
      </c>
    </row>
    <row r="301" spans="2:17" ht="15">
      <c r="B301" s="32" t="s">
        <v>452</v>
      </c>
      <c r="C301" s="32"/>
      <c r="D301" s="32"/>
      <c r="E301" s="32"/>
      <c r="F301" s="32"/>
      <c r="G301" s="32"/>
      <c r="H301" s="56"/>
      <c r="I301" s="56">
        <v>4705.48</v>
      </c>
      <c r="J301" s="56">
        <v>1843.75</v>
      </c>
      <c r="K301" s="18">
        <v>1843.75</v>
      </c>
      <c r="L301" s="18">
        <v>3687.5</v>
      </c>
      <c r="M301" s="18">
        <v>3687.5</v>
      </c>
      <c r="N301" s="18">
        <v>3687.5</v>
      </c>
      <c r="P301" s="387">
        <f t="shared" si="12"/>
        <v>-4705.48</v>
      </c>
      <c r="Q301" s="315">
        <f t="shared" si="13"/>
        <v>-1</v>
      </c>
    </row>
    <row r="302" spans="2:17" ht="15">
      <c r="B302" s="32" t="s">
        <v>453</v>
      </c>
      <c r="C302" s="32"/>
      <c r="D302" s="32"/>
      <c r="E302" s="32"/>
      <c r="F302" s="32"/>
      <c r="G302" s="32"/>
      <c r="H302" s="56">
        <v>5568.24</v>
      </c>
      <c r="I302" s="56">
        <v>2679.5</v>
      </c>
      <c r="J302" s="56">
        <v>2679.5</v>
      </c>
      <c r="K302" s="18">
        <v>2679.5</v>
      </c>
      <c r="L302" s="18">
        <v>56247.14</v>
      </c>
      <c r="M302" s="18">
        <v>32484.58</v>
      </c>
      <c r="N302" s="18">
        <v>54322.16</v>
      </c>
      <c r="P302" s="387">
        <f t="shared" si="12"/>
        <v>2888.74</v>
      </c>
      <c r="Q302" s="315">
        <f t="shared" si="13"/>
        <v>1.0780891957454748</v>
      </c>
    </row>
    <row r="303" spans="2:17" ht="15">
      <c r="B303" s="32" t="s">
        <v>454</v>
      </c>
      <c r="C303" s="32"/>
      <c r="D303" s="32"/>
      <c r="E303" s="32"/>
      <c r="F303" s="32"/>
      <c r="G303" s="32"/>
      <c r="H303" s="56">
        <v>45941.01</v>
      </c>
      <c r="I303" s="56">
        <v>78910.01</v>
      </c>
      <c r="J303" s="56">
        <v>63364.01</v>
      </c>
      <c r="K303" s="18">
        <v>63364.01</v>
      </c>
      <c r="L303" s="18">
        <v>16554.97</v>
      </c>
      <c r="M303" s="18">
        <v>47226.56</v>
      </c>
      <c r="N303" s="18">
        <v>31368.32</v>
      </c>
      <c r="P303" s="387">
        <f t="shared" si="12"/>
        <v>-32968.99999999999</v>
      </c>
      <c r="Q303" s="315">
        <f t="shared" si="13"/>
        <v>-0.4178050414643211</v>
      </c>
    </row>
    <row r="304" spans="2:17" ht="15">
      <c r="B304" s="32" t="s">
        <v>455</v>
      </c>
      <c r="C304" s="32"/>
      <c r="D304" s="32"/>
      <c r="E304" s="32"/>
      <c r="F304" s="32"/>
      <c r="G304" s="32"/>
      <c r="H304" s="56"/>
      <c r="I304" s="56">
        <v>19874.51</v>
      </c>
      <c r="J304" s="56">
        <v>27014.23</v>
      </c>
      <c r="K304" s="18">
        <v>27014.23</v>
      </c>
      <c r="L304" s="18">
        <v>13105.38</v>
      </c>
      <c r="M304" s="18">
        <v>25243.4</v>
      </c>
      <c r="N304" s="18">
        <v>23549.85</v>
      </c>
      <c r="P304" s="387">
        <f t="shared" si="12"/>
        <v>-19874.51</v>
      </c>
      <c r="Q304" s="315">
        <f t="shared" si="13"/>
        <v>-1</v>
      </c>
    </row>
    <row r="305" spans="2:17" ht="15">
      <c r="B305" s="32" t="s">
        <v>456</v>
      </c>
      <c r="C305" s="32"/>
      <c r="D305" s="32"/>
      <c r="E305" s="32"/>
      <c r="F305" s="32"/>
      <c r="G305" s="32"/>
      <c r="H305" s="56">
        <v>40201.92</v>
      </c>
      <c r="I305" s="56">
        <v>47941.52</v>
      </c>
      <c r="J305" s="56">
        <v>29902.25</v>
      </c>
      <c r="K305" s="18">
        <v>29902.25</v>
      </c>
      <c r="L305" s="18"/>
      <c r="M305" s="18">
        <v>1678.66</v>
      </c>
      <c r="N305" s="18"/>
      <c r="P305" s="387">
        <f t="shared" si="12"/>
        <v>-7739.5999999999985</v>
      </c>
      <c r="Q305" s="315">
        <f t="shared" si="13"/>
        <v>-0.16143835239266505</v>
      </c>
    </row>
    <row r="306" spans="2:17" ht="15">
      <c r="B306" s="32" t="s">
        <v>457</v>
      </c>
      <c r="C306" s="32"/>
      <c r="D306" s="32"/>
      <c r="E306" s="32"/>
      <c r="F306" s="32"/>
      <c r="G306" s="32"/>
      <c r="H306" s="56"/>
      <c r="I306" s="56">
        <v>4168.93</v>
      </c>
      <c r="J306" s="56">
        <v>1843.75</v>
      </c>
      <c r="K306" s="18">
        <v>1843.75</v>
      </c>
      <c r="L306" s="18">
        <v>7707.77</v>
      </c>
      <c r="M306" s="18">
        <v>3687.5</v>
      </c>
      <c r="N306" s="18">
        <v>3687.5</v>
      </c>
      <c r="P306" s="387">
        <f t="shared" si="12"/>
        <v>-4168.93</v>
      </c>
      <c r="Q306" s="315">
        <f t="shared" si="13"/>
        <v>-1</v>
      </c>
    </row>
    <row r="307" spans="2:17" ht="15">
      <c r="B307" s="32" t="s">
        <v>458</v>
      </c>
      <c r="C307" s="32"/>
      <c r="D307" s="32"/>
      <c r="E307" s="32"/>
      <c r="F307" s="32"/>
      <c r="G307" s="32"/>
      <c r="H307" s="56"/>
      <c r="I307" s="56">
        <v>2679.5</v>
      </c>
      <c r="J307" s="56">
        <v>2679.5</v>
      </c>
      <c r="K307" s="18">
        <v>2679.5</v>
      </c>
      <c r="L307" s="18">
        <v>91914.74</v>
      </c>
      <c r="M307" s="18">
        <v>55849.82</v>
      </c>
      <c r="N307" s="18">
        <v>91914.74</v>
      </c>
      <c r="P307" s="387">
        <f t="shared" si="12"/>
        <v>-2679.5</v>
      </c>
      <c r="Q307" s="315">
        <f t="shared" si="13"/>
        <v>-1</v>
      </c>
    </row>
    <row r="308" spans="2:17" ht="15">
      <c r="B308" s="32" t="s">
        <v>459</v>
      </c>
      <c r="C308" s="32"/>
      <c r="D308" s="32"/>
      <c r="E308" s="32"/>
      <c r="F308" s="32"/>
      <c r="G308" s="32"/>
      <c r="H308" s="56"/>
      <c r="I308" s="56">
        <v>2378.42</v>
      </c>
      <c r="J308" s="56">
        <v>18821</v>
      </c>
      <c r="K308" s="18">
        <v>18821</v>
      </c>
      <c r="L308" s="18">
        <v>27775.98</v>
      </c>
      <c r="M308" s="18">
        <v>18821</v>
      </c>
      <c r="N308" s="18">
        <v>21795.46</v>
      </c>
      <c r="P308" s="387">
        <f t="shared" si="12"/>
        <v>-2378.42</v>
      </c>
      <c r="Q308" s="315">
        <f t="shared" si="13"/>
        <v>-1</v>
      </c>
    </row>
    <row r="309" spans="2:17" ht="15">
      <c r="B309" s="32" t="s">
        <v>460</v>
      </c>
      <c r="C309" s="32"/>
      <c r="D309" s="32"/>
      <c r="E309" s="32"/>
      <c r="F309" s="32"/>
      <c r="G309" s="32"/>
      <c r="H309" s="56"/>
      <c r="I309" s="56">
        <v>5133.63</v>
      </c>
      <c r="J309" s="56">
        <v>5575</v>
      </c>
      <c r="K309" s="18">
        <v>5575</v>
      </c>
      <c r="L309" s="18">
        <v>10693.75</v>
      </c>
      <c r="M309" s="18">
        <v>5575</v>
      </c>
      <c r="N309" s="18">
        <v>3935.5</v>
      </c>
      <c r="P309" s="387">
        <f t="shared" si="12"/>
        <v>-5133.63</v>
      </c>
      <c r="Q309" s="315">
        <f t="shared" si="13"/>
        <v>-1</v>
      </c>
    </row>
    <row r="310" spans="2:17" ht="15">
      <c r="B310" s="32" t="s">
        <v>588</v>
      </c>
      <c r="C310" s="32"/>
      <c r="D310" s="32"/>
      <c r="E310" s="32"/>
      <c r="F310" s="32"/>
      <c r="G310" s="32"/>
      <c r="H310" s="56"/>
      <c r="I310" s="56">
        <v>1219.8</v>
      </c>
      <c r="J310" s="56">
        <v>4269.27</v>
      </c>
      <c r="K310" s="18">
        <v>4269.27</v>
      </c>
      <c r="L310" s="18">
        <v>7625.91</v>
      </c>
      <c r="M310" s="18"/>
      <c r="N310" s="18">
        <v>2315.46</v>
      </c>
      <c r="P310" s="387">
        <f t="shared" si="12"/>
        <v>-1219.8</v>
      </c>
      <c r="Q310" s="315">
        <f t="shared" si="13"/>
        <v>-1</v>
      </c>
    </row>
    <row r="311" spans="2:17" ht="15" hidden="1">
      <c r="B311" s="32" t="s">
        <v>480</v>
      </c>
      <c r="C311" s="32"/>
      <c r="D311" s="32"/>
      <c r="E311" s="32"/>
      <c r="F311" s="32"/>
      <c r="G311" s="32"/>
      <c r="H311" s="56"/>
      <c r="I311" s="56"/>
      <c r="J311" s="56"/>
      <c r="K311" s="18"/>
      <c r="L311" s="18"/>
      <c r="M311" s="18"/>
      <c r="N311" s="18"/>
      <c r="P311" s="387">
        <f t="shared" si="12"/>
        <v>0</v>
      </c>
      <c r="Q311" s="315" t="e">
        <f t="shared" si="13"/>
        <v>#DIV/0!</v>
      </c>
    </row>
    <row r="312" spans="2:17" ht="15" hidden="1">
      <c r="B312" s="32" t="s">
        <v>7</v>
      </c>
      <c r="C312" s="32"/>
      <c r="D312" s="32"/>
      <c r="E312" s="32"/>
      <c r="F312" s="32"/>
      <c r="G312" s="32"/>
      <c r="H312" s="56"/>
      <c r="I312" s="56"/>
      <c r="J312" s="56"/>
      <c r="K312" s="18"/>
      <c r="L312" s="18"/>
      <c r="M312" s="18"/>
      <c r="N312" s="18"/>
      <c r="P312" s="387">
        <f t="shared" si="12"/>
        <v>0</v>
      </c>
      <c r="Q312" s="315" t="e">
        <f t="shared" si="13"/>
        <v>#DIV/0!</v>
      </c>
    </row>
    <row r="313" spans="2:17" ht="15" hidden="1">
      <c r="B313" s="32" t="s">
        <v>591</v>
      </c>
      <c r="C313" s="32"/>
      <c r="D313" s="32"/>
      <c r="E313" s="32"/>
      <c r="F313" s="32"/>
      <c r="G313" s="32"/>
      <c r="H313" s="56"/>
      <c r="I313" s="56"/>
      <c r="J313" s="56">
        <v>735.04</v>
      </c>
      <c r="K313" s="18">
        <v>735.04</v>
      </c>
      <c r="L313" s="18"/>
      <c r="M313" s="18"/>
      <c r="N313" s="18"/>
      <c r="P313" s="387">
        <f t="shared" si="12"/>
        <v>0</v>
      </c>
      <c r="Q313" s="315" t="e">
        <f t="shared" si="13"/>
        <v>#DIV/0!</v>
      </c>
    </row>
    <row r="314" spans="2:17" ht="15">
      <c r="B314" s="32" t="s">
        <v>661</v>
      </c>
      <c r="C314" s="32"/>
      <c r="D314" s="32"/>
      <c r="E314" s="32"/>
      <c r="F314" s="32"/>
      <c r="G314" s="32"/>
      <c r="H314" s="56">
        <v>24784.32</v>
      </c>
      <c r="I314" s="56">
        <v>20653.6</v>
      </c>
      <c r="J314" s="56"/>
      <c r="K314" s="18"/>
      <c r="L314" s="18"/>
      <c r="M314" s="18"/>
      <c r="N314" s="18"/>
      <c r="P314" s="387">
        <f t="shared" si="12"/>
        <v>4130.720000000001</v>
      </c>
      <c r="Q314" s="315">
        <f t="shared" si="13"/>
        <v>0.20000000000000007</v>
      </c>
    </row>
    <row r="315" spans="2:17" ht="15">
      <c r="B315" s="32" t="s">
        <v>662</v>
      </c>
      <c r="C315" s="32"/>
      <c r="D315" s="32"/>
      <c r="E315" s="32"/>
      <c r="F315" s="32"/>
      <c r="G315" s="32"/>
      <c r="H315" s="56">
        <v>45262.08</v>
      </c>
      <c r="I315" s="56">
        <v>15087.36</v>
      </c>
      <c r="J315" s="59">
        <v>437.5</v>
      </c>
      <c r="K315" s="18"/>
      <c r="L315" s="18"/>
      <c r="M315" s="18"/>
      <c r="N315" s="18"/>
      <c r="P315" s="387">
        <f t="shared" si="12"/>
        <v>30174.72</v>
      </c>
      <c r="Q315" s="315">
        <f t="shared" si="13"/>
        <v>2</v>
      </c>
    </row>
    <row r="316" spans="2:17" ht="15">
      <c r="B316" s="32" t="s">
        <v>8</v>
      </c>
      <c r="C316" s="32"/>
      <c r="D316" s="32"/>
      <c r="E316" s="32"/>
      <c r="F316" s="32"/>
      <c r="G316" s="32"/>
      <c r="H316" s="56">
        <v>102155.66</v>
      </c>
      <c r="I316" s="56">
        <v>129974.8</v>
      </c>
      <c r="J316" s="56">
        <v>115261.33</v>
      </c>
      <c r="K316" s="18">
        <v>115261.33</v>
      </c>
      <c r="L316" s="18">
        <v>89807.97</v>
      </c>
      <c r="M316" s="18">
        <v>141141.83</v>
      </c>
      <c r="N316" s="18">
        <v>111798.12</v>
      </c>
      <c r="P316" s="387">
        <f t="shared" si="12"/>
        <v>-27819.14</v>
      </c>
      <c r="Q316" s="315">
        <f t="shared" si="13"/>
        <v>-0.21403487445258618</v>
      </c>
    </row>
    <row r="317" spans="2:17" ht="15">
      <c r="B317" s="32" t="s">
        <v>462</v>
      </c>
      <c r="C317" s="32"/>
      <c r="D317" s="32"/>
      <c r="E317" s="32"/>
      <c r="F317" s="32"/>
      <c r="G317" s="32"/>
      <c r="H317" s="56"/>
      <c r="I317" s="56">
        <v>1859.9</v>
      </c>
      <c r="J317" s="56">
        <v>1859.9</v>
      </c>
      <c r="K317" s="18">
        <v>1859.9</v>
      </c>
      <c r="L317" s="18">
        <v>19932.67</v>
      </c>
      <c r="M317" s="18">
        <v>21744.83</v>
      </c>
      <c r="N317" s="18">
        <v>21744.83</v>
      </c>
      <c r="P317" s="387">
        <f t="shared" si="12"/>
        <v>-1859.9</v>
      </c>
      <c r="Q317" s="315">
        <f t="shared" si="13"/>
        <v>-1</v>
      </c>
    </row>
    <row r="318" spans="2:17" ht="15">
      <c r="B318" s="32" t="s">
        <v>463</v>
      </c>
      <c r="C318" s="32"/>
      <c r="D318" s="32"/>
      <c r="E318" s="32"/>
      <c r="F318" s="32"/>
      <c r="G318" s="32"/>
      <c r="H318" s="56">
        <v>5536.32</v>
      </c>
      <c r="I318" s="56">
        <v>5523.2</v>
      </c>
      <c r="J318" s="56">
        <v>1912.45</v>
      </c>
      <c r="K318" s="18">
        <v>1912.45</v>
      </c>
      <c r="L318" s="18">
        <v>7700.35</v>
      </c>
      <c r="M318" s="18">
        <v>9612.87</v>
      </c>
      <c r="N318" s="18">
        <v>8703.53</v>
      </c>
      <c r="P318" s="387">
        <f t="shared" si="12"/>
        <v>13.11999999999989</v>
      </c>
      <c r="Q318" s="315">
        <f t="shared" si="13"/>
        <v>0.002375434530706817</v>
      </c>
    </row>
    <row r="319" spans="2:17" ht="15" hidden="1">
      <c r="B319" s="32" t="s">
        <v>464</v>
      </c>
      <c r="C319" s="32"/>
      <c r="D319" s="32"/>
      <c r="E319" s="32"/>
      <c r="F319" s="32"/>
      <c r="G319" s="32"/>
      <c r="H319" s="56"/>
      <c r="I319" s="56"/>
      <c r="J319" s="56">
        <v>0</v>
      </c>
      <c r="K319" s="18">
        <v>0</v>
      </c>
      <c r="L319" s="18">
        <v>4583.02</v>
      </c>
      <c r="M319" s="18">
        <v>4583.02</v>
      </c>
      <c r="N319" s="18">
        <v>4999.66</v>
      </c>
      <c r="P319" s="387">
        <f t="shared" si="12"/>
        <v>0</v>
      </c>
      <c r="Q319" s="315" t="e">
        <f t="shared" si="13"/>
        <v>#DIV/0!</v>
      </c>
    </row>
    <row r="320" spans="2:17" ht="15">
      <c r="B320" s="32" t="s">
        <v>9</v>
      </c>
      <c r="C320" s="32"/>
      <c r="D320" s="32"/>
      <c r="E320" s="32"/>
      <c r="F320" s="32"/>
      <c r="G320" s="32"/>
      <c r="H320" s="56">
        <v>198.72</v>
      </c>
      <c r="I320" s="56">
        <v>8863.4</v>
      </c>
      <c r="J320" s="56">
        <v>2831.62</v>
      </c>
      <c r="K320" s="18">
        <v>2831.62</v>
      </c>
      <c r="L320" s="18">
        <v>3074.06</v>
      </c>
      <c r="M320" s="18">
        <v>4736.25</v>
      </c>
      <c r="N320" s="18">
        <v>2987.19</v>
      </c>
      <c r="P320" s="387">
        <f t="shared" si="12"/>
        <v>-8664.68</v>
      </c>
      <c r="Q320" s="315">
        <f t="shared" si="13"/>
        <v>-0.9775797098179029</v>
      </c>
    </row>
    <row r="321" spans="2:17" ht="15">
      <c r="B321" s="32" t="s">
        <v>10</v>
      </c>
      <c r="C321" s="32"/>
      <c r="D321" s="32"/>
      <c r="E321" s="32"/>
      <c r="F321" s="32"/>
      <c r="G321" s="32"/>
      <c r="H321" s="56">
        <v>13115.29</v>
      </c>
      <c r="I321" s="56">
        <v>18267.32</v>
      </c>
      <c r="J321" s="56">
        <v>12147.42</v>
      </c>
      <c r="K321" s="18">
        <v>12147.42</v>
      </c>
      <c r="L321" s="18">
        <v>14343.11</v>
      </c>
      <c r="M321" s="18">
        <v>13121.38</v>
      </c>
      <c r="N321" s="18">
        <v>12430.54</v>
      </c>
      <c r="P321" s="387">
        <f t="shared" si="12"/>
        <v>-5152.029999999999</v>
      </c>
      <c r="Q321" s="315">
        <f t="shared" si="13"/>
        <v>-0.28203535056045437</v>
      </c>
    </row>
    <row r="322" spans="2:17" ht="15">
      <c r="B322" s="32" t="s">
        <v>11</v>
      </c>
      <c r="C322" s="32"/>
      <c r="D322" s="32"/>
      <c r="E322" s="32"/>
      <c r="F322" s="32"/>
      <c r="G322" s="32"/>
      <c r="H322" s="56">
        <v>699.36</v>
      </c>
      <c r="I322" s="56">
        <v>2643.78</v>
      </c>
      <c r="J322" s="56">
        <v>2998.9</v>
      </c>
      <c r="K322" s="18">
        <v>2998.9</v>
      </c>
      <c r="L322" s="18">
        <v>7684.99</v>
      </c>
      <c r="M322" s="18">
        <v>2998.9</v>
      </c>
      <c r="N322" s="18">
        <v>4842.28</v>
      </c>
      <c r="P322" s="387">
        <f t="shared" si="12"/>
        <v>-1944.42</v>
      </c>
      <c r="Q322" s="315">
        <f t="shared" si="13"/>
        <v>-0.7354696684292944</v>
      </c>
    </row>
    <row r="323" spans="2:17" ht="15" hidden="1">
      <c r="B323" s="32" t="s">
        <v>12</v>
      </c>
      <c r="C323" s="32"/>
      <c r="D323" s="32"/>
      <c r="E323" s="32"/>
      <c r="F323" s="32"/>
      <c r="G323" s="32"/>
      <c r="H323" s="56"/>
      <c r="I323" s="56"/>
      <c r="J323" s="56"/>
      <c r="K323" s="18"/>
      <c r="L323" s="18"/>
      <c r="M323" s="18"/>
      <c r="N323" s="18"/>
      <c r="P323" s="387">
        <f t="shared" si="12"/>
        <v>0</v>
      </c>
      <c r="Q323" s="315" t="e">
        <f t="shared" si="13"/>
        <v>#DIV/0!</v>
      </c>
    </row>
    <row r="324" spans="2:17" ht="15">
      <c r="B324" s="32" t="s">
        <v>465</v>
      </c>
      <c r="C324" s="32"/>
      <c r="D324" s="32"/>
      <c r="E324" s="32"/>
      <c r="F324" s="32"/>
      <c r="G324" s="32"/>
      <c r="H324" s="56"/>
      <c r="I324" s="56">
        <v>249.7</v>
      </c>
      <c r="J324" s="56"/>
      <c r="K324" s="18"/>
      <c r="L324" s="18">
        <v>1248.75</v>
      </c>
      <c r="M324" s="18"/>
      <c r="N324" s="18">
        <v>312.19</v>
      </c>
      <c r="P324" s="387">
        <f t="shared" si="12"/>
        <v>-249.7</v>
      </c>
      <c r="Q324" s="315">
        <f t="shared" si="13"/>
        <v>-1</v>
      </c>
    </row>
    <row r="325" spans="2:17" ht="15">
      <c r="B325" s="32" t="s">
        <v>13</v>
      </c>
      <c r="C325" s="32"/>
      <c r="D325" s="32"/>
      <c r="E325" s="32"/>
      <c r="F325" s="32"/>
      <c r="G325" s="32"/>
      <c r="H325" s="56"/>
      <c r="I325" s="56">
        <v>13735.44</v>
      </c>
      <c r="J325" s="56">
        <v>15534.18</v>
      </c>
      <c r="K325" s="18">
        <v>15534.18</v>
      </c>
      <c r="L325" s="18">
        <v>13025.36</v>
      </c>
      <c r="M325" s="18">
        <v>14387.29</v>
      </c>
      <c r="N325" s="18">
        <v>16104.18</v>
      </c>
      <c r="P325" s="387">
        <f t="shared" si="12"/>
        <v>-13735.44</v>
      </c>
      <c r="Q325" s="315">
        <f t="shared" si="13"/>
        <v>-1</v>
      </c>
    </row>
    <row r="326" spans="2:17" ht="15">
      <c r="B326" s="32" t="s">
        <v>14</v>
      </c>
      <c r="C326" s="32"/>
      <c r="D326" s="32"/>
      <c r="E326" s="32"/>
      <c r="F326" s="32"/>
      <c r="G326" s="32"/>
      <c r="H326" s="56"/>
      <c r="I326" s="56">
        <v>324.7</v>
      </c>
      <c r="J326" s="56"/>
      <c r="K326" s="18"/>
      <c r="L326" s="18"/>
      <c r="M326" s="18"/>
      <c r="N326" s="18"/>
      <c r="P326" s="387">
        <f aca="true" t="shared" si="15" ref="P326:P348">+H326-I326</f>
        <v>-324.7</v>
      </c>
      <c r="Q326" s="315">
        <f aca="true" t="shared" si="16" ref="Q326:Q348">+P326/I326</f>
        <v>-1</v>
      </c>
    </row>
    <row r="327" spans="2:17" ht="15">
      <c r="B327" s="32" t="s">
        <v>15</v>
      </c>
      <c r="C327" s="32"/>
      <c r="D327" s="32"/>
      <c r="E327" s="32"/>
      <c r="F327" s="32"/>
      <c r="G327" s="32"/>
      <c r="H327" s="56">
        <v>2855.56</v>
      </c>
      <c r="I327" s="56">
        <v>3295.22</v>
      </c>
      <c r="J327" s="56">
        <v>2429.47</v>
      </c>
      <c r="K327" s="18">
        <v>2429.47</v>
      </c>
      <c r="L327" s="18">
        <v>786.87</v>
      </c>
      <c r="M327" s="18">
        <v>2429.47</v>
      </c>
      <c r="N327" s="18">
        <v>1619.65</v>
      </c>
      <c r="P327" s="387">
        <f t="shared" si="15"/>
        <v>-439.65999999999985</v>
      </c>
      <c r="Q327" s="315">
        <f t="shared" si="16"/>
        <v>-0.13342356504269817</v>
      </c>
    </row>
    <row r="328" spans="2:17" ht="15">
      <c r="B328" s="32" t="s">
        <v>16</v>
      </c>
      <c r="C328" s="32"/>
      <c r="D328" s="32"/>
      <c r="E328" s="32"/>
      <c r="F328" s="32"/>
      <c r="G328" s="32"/>
      <c r="H328" s="56"/>
      <c r="I328" s="56">
        <v>294.7</v>
      </c>
      <c r="J328" s="56"/>
      <c r="K328" s="18"/>
      <c r="L328" s="18"/>
      <c r="M328" s="18"/>
      <c r="N328" s="18"/>
      <c r="P328" s="387">
        <f t="shared" si="15"/>
        <v>-294.7</v>
      </c>
      <c r="Q328" s="315">
        <f t="shared" si="16"/>
        <v>-1</v>
      </c>
    </row>
    <row r="329" spans="2:17" ht="15">
      <c r="B329" s="32" t="s">
        <v>466</v>
      </c>
      <c r="C329" s="32"/>
      <c r="D329" s="32"/>
      <c r="E329" s="32"/>
      <c r="F329" s="32"/>
      <c r="G329" s="32"/>
      <c r="H329" s="56">
        <v>549.96</v>
      </c>
      <c r="I329" s="56">
        <v>274.98</v>
      </c>
      <c r="J329" s="56"/>
      <c r="K329" s="18"/>
      <c r="L329" s="18"/>
      <c r="M329" s="18"/>
      <c r="N329" s="18"/>
      <c r="P329" s="387">
        <f t="shared" si="15"/>
        <v>274.98</v>
      </c>
      <c r="Q329" s="315">
        <f t="shared" si="16"/>
        <v>1</v>
      </c>
    </row>
    <row r="330" spans="2:17" ht="15">
      <c r="B330" s="32" t="s">
        <v>467</v>
      </c>
      <c r="C330" s="32"/>
      <c r="D330" s="32"/>
      <c r="E330" s="32"/>
      <c r="F330" s="32"/>
      <c r="G330" s="32"/>
      <c r="H330" s="56">
        <v>166781.4</v>
      </c>
      <c r="I330" s="56">
        <v>166781.43</v>
      </c>
      <c r="J330" s="56">
        <v>0</v>
      </c>
      <c r="K330" s="18">
        <v>0</v>
      </c>
      <c r="L330" s="18">
        <v>74777.06</v>
      </c>
      <c r="M330" s="18">
        <v>0</v>
      </c>
      <c r="N330" s="18">
        <v>19422.05</v>
      </c>
      <c r="P330" s="387">
        <f t="shared" si="15"/>
        <v>-0.029999999998835847</v>
      </c>
      <c r="Q330" s="315">
        <f t="shared" si="16"/>
        <v>-1.79876140879928E-07</v>
      </c>
    </row>
    <row r="331" spans="2:17" ht="15" hidden="1">
      <c r="B331" s="32" t="s">
        <v>17</v>
      </c>
      <c r="C331" s="32"/>
      <c r="D331" s="32"/>
      <c r="E331" s="32"/>
      <c r="F331" s="32"/>
      <c r="G331" s="32"/>
      <c r="H331" s="56"/>
      <c r="I331" s="56"/>
      <c r="J331" s="56"/>
      <c r="K331" s="18"/>
      <c r="L331" s="18"/>
      <c r="M331" s="18"/>
      <c r="N331" s="18"/>
      <c r="P331" s="387">
        <f t="shared" si="15"/>
        <v>0</v>
      </c>
      <c r="Q331" s="315" t="e">
        <f t="shared" si="16"/>
        <v>#DIV/0!</v>
      </c>
    </row>
    <row r="332" spans="2:17" ht="15" hidden="1">
      <c r="B332" s="32" t="s">
        <v>18</v>
      </c>
      <c r="C332" s="32"/>
      <c r="D332" s="32"/>
      <c r="E332" s="32"/>
      <c r="F332" s="32"/>
      <c r="G332" s="32"/>
      <c r="H332" s="56"/>
      <c r="I332" s="56"/>
      <c r="J332" s="56"/>
      <c r="K332" s="18"/>
      <c r="L332" s="18"/>
      <c r="M332" s="18"/>
      <c r="N332" s="18"/>
      <c r="P332" s="387">
        <f t="shared" si="15"/>
        <v>0</v>
      </c>
      <c r="Q332" s="315" t="e">
        <f t="shared" si="16"/>
        <v>#DIV/0!</v>
      </c>
    </row>
    <row r="333" spans="2:17" ht="15" hidden="1">
      <c r="B333" s="32" t="s">
        <v>19</v>
      </c>
      <c r="C333" s="32"/>
      <c r="D333" s="32"/>
      <c r="E333" s="32"/>
      <c r="F333" s="32"/>
      <c r="G333" s="32"/>
      <c r="H333" s="56"/>
      <c r="I333" s="56"/>
      <c r="J333" s="56">
        <v>0</v>
      </c>
      <c r="K333" s="18">
        <v>0</v>
      </c>
      <c r="L333" s="18"/>
      <c r="M333" s="18">
        <v>5896.11</v>
      </c>
      <c r="N333" s="18">
        <v>3537.66</v>
      </c>
      <c r="P333" s="387">
        <f t="shared" si="15"/>
        <v>0</v>
      </c>
      <c r="Q333" s="315" t="e">
        <f t="shared" si="16"/>
        <v>#DIV/0!</v>
      </c>
    </row>
    <row r="334" spans="2:17" ht="15">
      <c r="B334" s="32" t="s">
        <v>468</v>
      </c>
      <c r="C334" s="32"/>
      <c r="D334" s="32"/>
      <c r="E334" s="32"/>
      <c r="F334" s="32"/>
      <c r="G334" s="32"/>
      <c r="H334" s="56"/>
      <c r="I334" s="56">
        <v>13952.9</v>
      </c>
      <c r="J334" s="56">
        <v>30696.35</v>
      </c>
      <c r="K334" s="18">
        <v>0</v>
      </c>
      <c r="L334" s="18">
        <v>28301.28</v>
      </c>
      <c r="M334" s="18">
        <v>5896.11</v>
      </c>
      <c r="N334" s="18">
        <v>24763.62</v>
      </c>
      <c r="P334" s="387">
        <f t="shared" si="15"/>
        <v>-13952.9</v>
      </c>
      <c r="Q334" s="315">
        <f t="shared" si="16"/>
        <v>-1</v>
      </c>
    </row>
    <row r="335" spans="2:17" ht="15">
      <c r="B335" s="32" t="s">
        <v>461</v>
      </c>
      <c r="C335" s="32"/>
      <c r="D335" s="32"/>
      <c r="E335" s="32"/>
      <c r="F335" s="32"/>
      <c r="G335" s="32"/>
      <c r="H335" s="56">
        <v>144525.5</v>
      </c>
      <c r="I335" s="56">
        <v>271973.44</v>
      </c>
      <c r="J335" s="56">
        <v>228416.67</v>
      </c>
      <c r="K335" s="18">
        <f>30696.35+228416.67</f>
        <v>259113.02000000002</v>
      </c>
      <c r="L335" s="18">
        <v>237426.57</v>
      </c>
      <c r="M335" s="18">
        <v>262675.73</v>
      </c>
      <c r="N335" s="18">
        <v>275194.46</v>
      </c>
      <c r="P335" s="387">
        <f t="shared" si="15"/>
        <v>-127447.94</v>
      </c>
      <c r="Q335" s="315">
        <f t="shared" si="16"/>
        <v>-0.4686043607787584</v>
      </c>
    </row>
    <row r="336" spans="2:17" ht="15" hidden="1">
      <c r="B336" s="32" t="s">
        <v>469</v>
      </c>
      <c r="C336" s="32"/>
      <c r="D336" s="32"/>
      <c r="E336" s="32"/>
      <c r="F336" s="32"/>
      <c r="G336" s="32"/>
      <c r="H336" s="56"/>
      <c r="I336" s="56"/>
      <c r="J336" s="56"/>
      <c r="K336" s="18"/>
      <c r="L336" s="18"/>
      <c r="M336" s="18"/>
      <c r="N336" s="18"/>
      <c r="P336" s="387">
        <f t="shared" si="15"/>
        <v>0</v>
      </c>
      <c r="Q336" s="315" t="e">
        <f t="shared" si="16"/>
        <v>#DIV/0!</v>
      </c>
    </row>
    <row r="337" spans="2:17" ht="15" hidden="1">
      <c r="B337" s="32" t="s">
        <v>470</v>
      </c>
      <c r="C337" s="32"/>
      <c r="D337" s="32"/>
      <c r="E337" s="32"/>
      <c r="F337" s="32"/>
      <c r="G337" s="32"/>
      <c r="H337" s="56"/>
      <c r="I337" s="56"/>
      <c r="J337" s="56"/>
      <c r="K337" s="18"/>
      <c r="L337" s="18"/>
      <c r="M337" s="18"/>
      <c r="N337" s="18"/>
      <c r="P337" s="387">
        <f t="shared" si="15"/>
        <v>0</v>
      </c>
      <c r="Q337" s="315" t="e">
        <f t="shared" si="16"/>
        <v>#DIV/0!</v>
      </c>
    </row>
    <row r="338" spans="2:17" ht="15" hidden="1">
      <c r="B338" s="32" t="s">
        <v>471</v>
      </c>
      <c r="C338" s="32"/>
      <c r="D338" s="32"/>
      <c r="E338" s="32"/>
      <c r="F338" s="32"/>
      <c r="G338" s="32"/>
      <c r="H338" s="56"/>
      <c r="I338" s="56"/>
      <c r="J338" s="56"/>
      <c r="K338" s="18"/>
      <c r="L338" s="18"/>
      <c r="M338" s="18"/>
      <c r="N338" s="18"/>
      <c r="P338" s="387">
        <f t="shared" si="15"/>
        <v>0</v>
      </c>
      <c r="Q338" s="315" t="e">
        <f t="shared" si="16"/>
        <v>#DIV/0!</v>
      </c>
    </row>
    <row r="339" spans="2:17" ht="15">
      <c r="B339" s="32" t="s">
        <v>472</v>
      </c>
      <c r="C339" s="32"/>
      <c r="D339" s="32"/>
      <c r="E339" s="32"/>
      <c r="F339" s="32"/>
      <c r="G339" s="32"/>
      <c r="H339" s="56">
        <v>5859813.48</v>
      </c>
      <c r="I339" s="56">
        <v>5862226.34</v>
      </c>
      <c r="J339" s="56">
        <v>5859813.53</v>
      </c>
      <c r="K339" s="18">
        <v>5823870.96</v>
      </c>
      <c r="L339" s="18">
        <v>5598423.12</v>
      </c>
      <c r="M339" s="18">
        <v>5788880.16</v>
      </c>
      <c r="N339" s="18">
        <v>5611645.92</v>
      </c>
      <c r="P339" s="387">
        <f t="shared" si="15"/>
        <v>-2412.859999999404</v>
      </c>
      <c r="Q339" s="315">
        <f t="shared" si="16"/>
        <v>-0.0004115944796494166</v>
      </c>
    </row>
    <row r="340" spans="2:17" ht="15" hidden="1">
      <c r="B340" s="32" t="s">
        <v>473</v>
      </c>
      <c r="C340" s="32"/>
      <c r="D340" s="32"/>
      <c r="E340" s="32"/>
      <c r="F340" s="32"/>
      <c r="G340" s="32"/>
      <c r="H340" s="56"/>
      <c r="I340" s="56"/>
      <c r="J340" s="56"/>
      <c r="K340" s="18"/>
      <c r="L340" s="18"/>
      <c r="M340" s="18"/>
      <c r="N340" s="18"/>
      <c r="P340" s="387">
        <f t="shared" si="15"/>
        <v>0</v>
      </c>
      <c r="Q340" s="315" t="e">
        <f t="shared" si="16"/>
        <v>#DIV/0!</v>
      </c>
    </row>
    <row r="341" spans="2:17" ht="15">
      <c r="B341" s="32" t="s">
        <v>474</v>
      </c>
      <c r="C341" s="32"/>
      <c r="D341" s="32"/>
      <c r="E341" s="32"/>
      <c r="F341" s="32"/>
      <c r="G341" s="32"/>
      <c r="H341" s="56">
        <v>2246970.24</v>
      </c>
      <c r="I341" s="56">
        <v>2908111.34</v>
      </c>
      <c r="J341" s="56">
        <v>551200.36</v>
      </c>
      <c r="K341" s="18">
        <v>551200.36</v>
      </c>
      <c r="L341" s="18">
        <v>1475527.13</v>
      </c>
      <c r="M341" s="18">
        <v>820814.7</v>
      </c>
      <c r="N341" s="18">
        <v>1104590.98</v>
      </c>
      <c r="P341" s="387">
        <f t="shared" si="15"/>
        <v>-661141.0999999996</v>
      </c>
      <c r="Q341" s="315">
        <f t="shared" si="16"/>
        <v>-0.22734380589430928</v>
      </c>
    </row>
    <row r="342" spans="2:17" ht="15">
      <c r="B342" s="32" t="s">
        <v>589</v>
      </c>
      <c r="C342" s="32"/>
      <c r="D342" s="32"/>
      <c r="E342" s="32"/>
      <c r="F342" s="32"/>
      <c r="G342" s="32"/>
      <c r="H342" s="56">
        <v>3549.36</v>
      </c>
      <c r="I342" s="56">
        <v>2514.18</v>
      </c>
      <c r="J342" s="56">
        <v>2588.25</v>
      </c>
      <c r="K342" s="18">
        <v>2588.25</v>
      </c>
      <c r="L342" s="18"/>
      <c r="M342" s="18"/>
      <c r="N342" s="18"/>
      <c r="P342" s="387">
        <f t="shared" si="15"/>
        <v>1035.1800000000003</v>
      </c>
      <c r="Q342" s="315">
        <f t="shared" si="16"/>
        <v>0.4117366298355728</v>
      </c>
    </row>
    <row r="343" spans="2:17" ht="15">
      <c r="B343" s="32" t="s">
        <v>590</v>
      </c>
      <c r="C343" s="32"/>
      <c r="D343" s="32"/>
      <c r="E343" s="32"/>
      <c r="F343" s="32"/>
      <c r="G343" s="32"/>
      <c r="H343" s="56"/>
      <c r="I343" s="56">
        <v>10616.08</v>
      </c>
      <c r="J343" s="56">
        <v>21232.13</v>
      </c>
      <c r="K343" s="18">
        <v>21232.13</v>
      </c>
      <c r="L343" s="18"/>
      <c r="M343" s="18"/>
      <c r="N343" s="18"/>
      <c r="P343" s="387">
        <f t="shared" si="15"/>
        <v>-10616.08</v>
      </c>
      <c r="Q343" s="315">
        <f t="shared" si="16"/>
        <v>-1</v>
      </c>
    </row>
    <row r="344" spans="2:17" ht="15" hidden="1">
      <c r="B344" s="32" t="s">
        <v>475</v>
      </c>
      <c r="C344" s="32"/>
      <c r="D344" s="32"/>
      <c r="E344" s="32"/>
      <c r="F344" s="32"/>
      <c r="G344" s="32"/>
      <c r="H344" s="56"/>
      <c r="I344" s="56"/>
      <c r="J344" s="56">
        <v>0</v>
      </c>
      <c r="K344" s="18">
        <v>0</v>
      </c>
      <c r="L344" s="18">
        <v>786512.7</v>
      </c>
      <c r="M344" s="18">
        <v>2516840.64</v>
      </c>
      <c r="N344" s="18">
        <v>629210.16</v>
      </c>
      <c r="P344" s="387">
        <f t="shared" si="15"/>
        <v>0</v>
      </c>
      <c r="Q344" s="315" t="e">
        <f t="shared" si="16"/>
        <v>#DIV/0!</v>
      </c>
    </row>
    <row r="345" spans="2:17" ht="15" hidden="1">
      <c r="B345" s="32"/>
      <c r="C345" s="32"/>
      <c r="D345" s="32"/>
      <c r="E345" s="32"/>
      <c r="F345" s="32"/>
      <c r="G345" s="32"/>
      <c r="H345" s="56"/>
      <c r="I345" s="56"/>
      <c r="J345" s="56"/>
      <c r="K345" s="18"/>
      <c r="L345" s="18"/>
      <c r="M345" s="18"/>
      <c r="N345" s="18"/>
      <c r="P345" s="387">
        <f t="shared" si="15"/>
        <v>0</v>
      </c>
      <c r="Q345" s="315" t="e">
        <f t="shared" si="16"/>
        <v>#DIV/0!</v>
      </c>
    </row>
    <row r="346" spans="2:17" ht="15">
      <c r="B346" s="32" t="s">
        <v>476</v>
      </c>
      <c r="C346" s="32"/>
      <c r="D346" s="32"/>
      <c r="E346" s="32"/>
      <c r="F346" s="32"/>
      <c r="G346" s="32"/>
      <c r="H346" s="56"/>
      <c r="I346" s="59">
        <v>7436.7</v>
      </c>
      <c r="J346" s="59">
        <v>14873.34</v>
      </c>
      <c r="K346" s="14">
        <v>14873.34</v>
      </c>
      <c r="L346" s="14">
        <v>14873.34</v>
      </c>
      <c r="M346" s="14">
        <v>14873.34</v>
      </c>
      <c r="N346" s="103">
        <v>14873.34</v>
      </c>
      <c r="O346" s="9"/>
      <c r="P346" s="387">
        <f t="shared" si="15"/>
        <v>-7436.7</v>
      </c>
      <c r="Q346" s="315">
        <f t="shared" si="16"/>
        <v>-1</v>
      </c>
    </row>
    <row r="347" spans="2:20" s="5" customFormat="1" ht="15">
      <c r="B347" s="32" t="s">
        <v>699</v>
      </c>
      <c r="C347" s="32"/>
      <c r="D347" s="32"/>
      <c r="E347" s="32"/>
      <c r="F347" s="32"/>
      <c r="G347" s="32"/>
      <c r="H347" s="56">
        <v>164.04</v>
      </c>
      <c r="I347" s="59"/>
      <c r="J347" s="59"/>
      <c r="K347" s="14"/>
      <c r="L347" s="14"/>
      <c r="M347" s="14"/>
      <c r="N347" s="103"/>
      <c r="O347" s="9"/>
      <c r="P347" s="387"/>
      <c r="Q347" s="315"/>
      <c r="R347" s="216"/>
      <c r="S347" s="216"/>
      <c r="T347" s="216"/>
    </row>
    <row r="348" spans="2:17" ht="15.75" thickBot="1">
      <c r="B348" s="89" t="s">
        <v>577</v>
      </c>
      <c r="C348" s="32"/>
      <c r="D348" s="32"/>
      <c r="E348" s="32"/>
      <c r="F348" s="32"/>
      <c r="G348" s="32"/>
      <c r="H348" s="235">
        <f>SUM(H258:H347)</f>
        <v>15731967.88</v>
      </c>
      <c r="I348" s="235">
        <f aca="true" t="shared" si="17" ref="I348:N348">SUM(I258:I346)</f>
        <v>17522395.13</v>
      </c>
      <c r="J348" s="235">
        <f t="shared" si="17"/>
        <v>11761503.92</v>
      </c>
      <c r="K348" s="40">
        <f t="shared" si="17"/>
        <v>11684069.160000002</v>
      </c>
      <c r="L348" s="40">
        <f t="shared" si="17"/>
        <v>12932895.34</v>
      </c>
      <c r="M348" s="40">
        <f t="shared" si="17"/>
        <v>14010282.73</v>
      </c>
      <c r="N348" s="40">
        <f t="shared" si="17"/>
        <v>11832803.59</v>
      </c>
      <c r="P348" s="387">
        <f t="shared" si="15"/>
        <v>-1790427.2499999981</v>
      </c>
      <c r="Q348" s="315">
        <f t="shared" si="16"/>
        <v>-0.10217936741619399</v>
      </c>
    </row>
    <row r="349" spans="2:14" ht="15.75" thickTop="1">
      <c r="B349" s="38"/>
      <c r="C349" s="38"/>
      <c r="D349" s="38"/>
      <c r="E349" s="38"/>
      <c r="F349" s="38"/>
      <c r="G349" s="38"/>
      <c r="H349" s="38"/>
      <c r="I349" s="38"/>
      <c r="J349" s="38"/>
      <c r="K349" s="38"/>
      <c r="L349" s="18"/>
      <c r="M349" s="18"/>
      <c r="N349" s="18"/>
    </row>
    <row r="350" spans="3:14" ht="15">
      <c r="C350" s="41"/>
      <c r="D350" s="38"/>
      <c r="E350" s="38"/>
      <c r="F350" s="38"/>
      <c r="G350" s="38"/>
      <c r="H350" s="38"/>
      <c r="I350" s="38"/>
      <c r="J350" s="38"/>
      <c r="K350" s="38"/>
      <c r="L350" s="18"/>
      <c r="M350" s="18"/>
      <c r="N350" s="18"/>
    </row>
    <row r="351" spans="2:14" ht="15.75" thickBot="1">
      <c r="B351" s="38"/>
      <c r="C351" s="38"/>
      <c r="D351" s="38"/>
      <c r="E351" s="38"/>
      <c r="F351" s="38"/>
      <c r="G351" s="38"/>
      <c r="H351" s="38"/>
      <c r="I351" s="38"/>
      <c r="J351" s="38"/>
      <c r="K351" s="38"/>
      <c r="L351" s="18"/>
      <c r="M351" s="18"/>
      <c r="N351" s="18"/>
    </row>
    <row r="352" spans="2:17" ht="16.5" thickBot="1">
      <c r="B352" s="42" t="s">
        <v>477</v>
      </c>
      <c r="C352" s="43"/>
      <c r="D352" s="43"/>
      <c r="E352" s="43"/>
      <c r="F352" s="43"/>
      <c r="G352" s="43"/>
      <c r="H352" s="241">
        <f>+H46+H134+H199+H247+H348</f>
        <v>453879032.24999994</v>
      </c>
      <c r="I352" s="241">
        <f>+I46+I134+I199+I247+I348</f>
        <v>376806437.39000005</v>
      </c>
      <c r="J352" s="242">
        <f>+J46+J134+J199+J247+J348</f>
        <v>385729617.88000005</v>
      </c>
      <c r="K352" s="45">
        <f>+K46+K134+K199+K247+K348</f>
        <v>350555278.61999995</v>
      </c>
      <c r="L352" s="45">
        <f>+L46+L134+L199+L230+L245+L348</f>
        <v>316843235.8900001</v>
      </c>
      <c r="M352" s="45">
        <f>+M46+M134+M199+M247+M348</f>
        <v>324310403.05</v>
      </c>
      <c r="N352" s="45">
        <f>+N46+N134+N199+N230+N245+N348</f>
        <v>316669918.37999994</v>
      </c>
      <c r="O352" s="5"/>
      <c r="P352" s="387">
        <f>+H352-I352</f>
        <v>77072594.8599999</v>
      </c>
      <c r="Q352" s="315">
        <f>+P352/I352</f>
        <v>0.20454160866744603</v>
      </c>
    </row>
    <row r="353" spans="12:13" ht="15">
      <c r="L353" s="18"/>
      <c r="M353" s="18"/>
    </row>
    <row r="354" spans="12:13" ht="15">
      <c r="L354" s="18"/>
      <c r="M354" s="18"/>
    </row>
    <row r="355" spans="2:11" ht="15">
      <c r="B355" s="499" t="s">
        <v>700</v>
      </c>
      <c r="C355" s="499"/>
      <c r="D355" s="499"/>
      <c r="E355" s="499"/>
      <c r="F355" s="499"/>
      <c r="G355" s="499"/>
      <c r="H355" s="499"/>
      <c r="I355" s="499"/>
      <c r="J355" s="499"/>
      <c r="K355" s="499"/>
    </row>
    <row r="356" spans="2:11" ht="15">
      <c r="B356" s="499"/>
      <c r="C356" s="499"/>
      <c r="D356" s="499"/>
      <c r="E356" s="499"/>
      <c r="F356" s="499"/>
      <c r="G356" s="499"/>
      <c r="H356" s="499"/>
      <c r="I356" s="499"/>
      <c r="J356" s="499"/>
      <c r="K356" s="499"/>
    </row>
    <row r="357" spans="2:11" ht="15">
      <c r="B357" s="499"/>
      <c r="C357" s="499"/>
      <c r="D357" s="499"/>
      <c r="E357" s="499"/>
      <c r="F357" s="499"/>
      <c r="G357" s="499"/>
      <c r="H357" s="499"/>
      <c r="I357" s="499"/>
      <c r="J357" s="499"/>
      <c r="K357" s="499"/>
    </row>
    <row r="358" spans="2:11" ht="15">
      <c r="B358" s="499"/>
      <c r="C358" s="499"/>
      <c r="D358" s="499"/>
      <c r="E358" s="499"/>
      <c r="F358" s="499"/>
      <c r="G358" s="499"/>
      <c r="H358" s="499"/>
      <c r="I358" s="499"/>
      <c r="J358" s="499"/>
      <c r="K358" s="499"/>
    </row>
    <row r="359" spans="2:11" ht="15">
      <c r="B359" s="499"/>
      <c r="C359" s="499"/>
      <c r="D359" s="499"/>
      <c r="E359" s="499"/>
      <c r="F359" s="499"/>
      <c r="G359" s="499"/>
      <c r="H359" s="499"/>
      <c r="I359" s="499"/>
      <c r="J359" s="499"/>
      <c r="K359" s="499"/>
    </row>
    <row r="361" ht="15">
      <c r="O361" s="53"/>
    </row>
    <row r="365" spans="17:18" ht="15">
      <c r="Q365" s="196"/>
      <c r="R365" s="196"/>
    </row>
    <row r="366" spans="17:18" ht="15">
      <c r="Q366" s="196"/>
      <c r="R366" s="196"/>
    </row>
    <row r="367" spans="17:18" ht="15">
      <c r="Q367" s="196"/>
      <c r="R367" s="196"/>
    </row>
    <row r="368" spans="17:18" ht="15">
      <c r="Q368" s="196"/>
      <c r="R368" s="196"/>
    </row>
    <row r="369" spans="17:18" ht="15">
      <c r="Q369" s="196"/>
      <c r="R369" s="196"/>
    </row>
    <row r="370" spans="17:18" ht="15">
      <c r="Q370" s="196"/>
      <c r="R370" s="196"/>
    </row>
    <row r="371" spans="17:18" ht="15">
      <c r="Q371" s="196"/>
      <c r="R371" s="196"/>
    </row>
    <row r="372" spans="15:18" ht="15">
      <c r="O372" s="30"/>
      <c r="Q372" s="316"/>
      <c r="R372" s="316"/>
    </row>
    <row r="373" spans="17:18" ht="15">
      <c r="Q373" s="196"/>
      <c r="R373" s="196"/>
    </row>
    <row r="374" spans="17:18" ht="15">
      <c r="Q374" s="196"/>
      <c r="R374" s="196"/>
    </row>
    <row r="375" spans="17:18" ht="15">
      <c r="Q375" s="196"/>
      <c r="R375" s="196"/>
    </row>
    <row r="376" spans="15:18" ht="15">
      <c r="O376" s="53"/>
      <c r="Q376" s="196"/>
      <c r="R376" s="196"/>
    </row>
    <row r="377" spans="17:18" ht="15">
      <c r="Q377" s="196"/>
      <c r="R377" s="196"/>
    </row>
    <row r="379" spans="17:18" ht="15">
      <c r="Q379" s="196"/>
      <c r="R379" s="196"/>
    </row>
    <row r="380" spans="17:18" ht="15">
      <c r="Q380" s="196"/>
      <c r="R380" s="196"/>
    </row>
    <row r="381" spans="17:18" ht="15">
      <c r="Q381" s="196"/>
      <c r="R381" s="196"/>
    </row>
    <row r="382" spans="17:18" ht="15">
      <c r="Q382" s="196"/>
      <c r="R382" s="196"/>
    </row>
    <row r="383" spans="17:18" ht="15">
      <c r="Q383" s="196"/>
      <c r="R383" s="196"/>
    </row>
    <row r="384" spans="17:18" ht="15">
      <c r="Q384" s="196"/>
      <c r="R384" s="196"/>
    </row>
    <row r="385" spans="17:18" ht="15">
      <c r="Q385" s="196"/>
      <c r="R385" s="196"/>
    </row>
    <row r="386" spans="17:18" ht="15">
      <c r="Q386" s="196"/>
      <c r="R386" s="196"/>
    </row>
    <row r="387" spans="15:18" ht="15">
      <c r="O387" s="30"/>
      <c r="Q387" s="316"/>
      <c r="R387" s="316"/>
    </row>
    <row r="388" spans="17:18" ht="15">
      <c r="Q388" s="196"/>
      <c r="R388" s="196"/>
    </row>
    <row r="391" spans="15:18" ht="15">
      <c r="O391" s="53"/>
      <c r="Q391" s="196"/>
      <c r="R391" s="196"/>
    </row>
    <row r="392" spans="17:18" ht="15">
      <c r="Q392" s="196"/>
      <c r="R392" s="196"/>
    </row>
    <row r="394" spans="17:18" ht="15">
      <c r="Q394" s="196"/>
      <c r="R394" s="196"/>
    </row>
    <row r="395" spans="17:18" ht="15">
      <c r="Q395" s="196"/>
      <c r="R395" s="196"/>
    </row>
    <row r="396" spans="17:18" ht="15">
      <c r="Q396" s="196"/>
      <c r="R396" s="196"/>
    </row>
    <row r="397" spans="17:18" ht="15">
      <c r="Q397" s="196"/>
      <c r="R397" s="196"/>
    </row>
    <row r="398" spans="17:18" ht="15">
      <c r="Q398" s="196"/>
      <c r="R398" s="196"/>
    </row>
    <row r="399" spans="17:18" ht="15">
      <c r="Q399" s="196"/>
      <c r="R399" s="196"/>
    </row>
    <row r="400" spans="17:18" ht="15">
      <c r="Q400" s="196"/>
      <c r="R400" s="196"/>
    </row>
    <row r="401" spans="17:18" ht="15">
      <c r="Q401" s="196"/>
      <c r="R401" s="196"/>
    </row>
    <row r="402" spans="17:18" ht="15">
      <c r="Q402" s="196"/>
      <c r="R402" s="196"/>
    </row>
    <row r="403" spans="15:18" ht="15">
      <c r="O403" s="30"/>
      <c r="Q403" s="316"/>
      <c r="R403" s="316"/>
    </row>
    <row r="404" spans="17:18" ht="15">
      <c r="Q404" s="196"/>
      <c r="R404" s="196"/>
    </row>
    <row r="408" spans="15:18" ht="15">
      <c r="O408" s="53"/>
      <c r="Q408" s="196"/>
      <c r="R408" s="196"/>
    </row>
    <row r="409" spans="17:18" ht="15">
      <c r="Q409" s="196"/>
      <c r="R409" s="196"/>
    </row>
    <row r="411" spans="17:18" ht="15">
      <c r="Q411" s="196"/>
      <c r="R411" s="196"/>
    </row>
    <row r="412" spans="17:18" ht="15">
      <c r="Q412" s="196"/>
      <c r="R412" s="196"/>
    </row>
    <row r="413" spans="17:18" ht="15">
      <c r="Q413" s="196"/>
      <c r="R413" s="196"/>
    </row>
    <row r="414" spans="17:18" ht="15">
      <c r="Q414" s="196"/>
      <c r="R414" s="196"/>
    </row>
    <row r="415" spans="17:18" ht="15">
      <c r="Q415" s="196"/>
      <c r="R415" s="196"/>
    </row>
    <row r="416" spans="17:18" ht="15">
      <c r="Q416" s="196"/>
      <c r="R416" s="196"/>
    </row>
    <row r="417" spans="17:18" ht="15">
      <c r="Q417" s="196"/>
      <c r="R417" s="196"/>
    </row>
    <row r="418" spans="17:18" ht="15">
      <c r="Q418" s="196"/>
      <c r="R418" s="196"/>
    </row>
    <row r="419" spans="17:18" ht="15">
      <c r="Q419" s="196"/>
      <c r="R419" s="196"/>
    </row>
    <row r="420" spans="17:18" ht="15">
      <c r="Q420" s="196"/>
      <c r="R420" s="196"/>
    </row>
    <row r="421" spans="15:18" ht="15">
      <c r="O421" s="30"/>
      <c r="Q421" s="316"/>
      <c r="R421" s="316"/>
    </row>
    <row r="422" spans="17:18" ht="15">
      <c r="Q422" s="196"/>
      <c r="R422" s="196"/>
    </row>
    <row r="425" spans="15:18" ht="15">
      <c r="O425" s="53"/>
      <c r="Q425" s="196"/>
      <c r="R425" s="196"/>
    </row>
    <row r="426" spans="17:18" ht="15">
      <c r="Q426" s="196"/>
      <c r="R426" s="196"/>
    </row>
    <row r="428" spans="17:18" ht="15">
      <c r="Q428" s="196"/>
      <c r="R428" s="196"/>
    </row>
    <row r="429" spans="17:18" ht="15">
      <c r="Q429" s="196"/>
      <c r="R429" s="196"/>
    </row>
    <row r="430" spans="17:18" ht="15">
      <c r="Q430" s="196"/>
      <c r="R430" s="196"/>
    </row>
    <row r="431" spans="17:18" ht="15">
      <c r="Q431" s="196"/>
      <c r="R431" s="196"/>
    </row>
    <row r="432" spans="17:18" ht="15">
      <c r="Q432" s="196"/>
      <c r="R432" s="196"/>
    </row>
    <row r="433" spans="17:18" ht="15">
      <c r="Q433" s="196"/>
      <c r="R433" s="196"/>
    </row>
    <row r="434" spans="17:18" ht="15">
      <c r="Q434" s="196"/>
      <c r="R434" s="196"/>
    </row>
    <row r="435" spans="17:18" ht="15">
      <c r="Q435" s="196"/>
      <c r="R435" s="196"/>
    </row>
    <row r="436" spans="17:18" ht="15">
      <c r="Q436" s="196"/>
      <c r="R436" s="196"/>
    </row>
    <row r="437" spans="17:18" ht="15">
      <c r="Q437" s="196"/>
      <c r="R437" s="196"/>
    </row>
    <row r="438" spans="15:18" ht="15">
      <c r="O438" s="30"/>
      <c r="Q438" s="316"/>
      <c r="R438" s="316"/>
    </row>
    <row r="442" spans="15:18" ht="15">
      <c r="O442" s="53"/>
      <c r="Q442" s="196"/>
      <c r="R442" s="196"/>
    </row>
    <row r="443" spans="17:18" ht="15">
      <c r="Q443" s="196"/>
      <c r="R443" s="196"/>
    </row>
    <row r="445" spans="17:18" ht="15">
      <c r="Q445" s="196"/>
      <c r="R445" s="196"/>
    </row>
    <row r="446" spans="17:18" ht="15">
      <c r="Q446" s="196"/>
      <c r="R446" s="196"/>
    </row>
    <row r="447" spans="17:18" ht="15">
      <c r="Q447" s="196"/>
      <c r="R447" s="196"/>
    </row>
    <row r="448" spans="17:18" ht="15">
      <c r="Q448" s="196"/>
      <c r="R448" s="196"/>
    </row>
    <row r="449" spans="17:18" ht="15">
      <c r="Q449" s="196"/>
      <c r="R449" s="196"/>
    </row>
    <row r="450" spans="17:18" ht="15">
      <c r="Q450" s="196"/>
      <c r="R450" s="196"/>
    </row>
    <row r="451" spans="17:18" ht="15">
      <c r="Q451" s="196"/>
      <c r="R451" s="196"/>
    </row>
    <row r="452" spans="17:18" ht="15">
      <c r="Q452" s="196"/>
      <c r="R452" s="196"/>
    </row>
    <row r="453" spans="12:18" ht="15">
      <c r="L453" s="18"/>
      <c r="M453" s="18"/>
      <c r="Q453" s="196"/>
      <c r="R453" s="196"/>
    </row>
    <row r="454" spans="12:18" ht="15">
      <c r="L454" s="18"/>
      <c r="M454" s="18"/>
      <c r="Q454" s="196"/>
      <c r="R454" s="196"/>
    </row>
    <row r="455" spans="12:18" ht="15">
      <c r="L455" s="18"/>
      <c r="M455" s="18"/>
      <c r="O455" s="30"/>
      <c r="Q455" s="316"/>
      <c r="R455" s="316"/>
    </row>
    <row r="456" spans="12:13" ht="15">
      <c r="L456" s="18"/>
      <c r="M456" s="18"/>
    </row>
    <row r="457" spans="12:13" ht="15">
      <c r="L457" s="18"/>
      <c r="M457" s="18"/>
    </row>
    <row r="458" spans="12:13" ht="15">
      <c r="L458" s="18"/>
      <c r="M458" s="18"/>
    </row>
    <row r="459" spans="12:13" ht="15">
      <c r="L459" s="18"/>
      <c r="M459" s="18"/>
    </row>
    <row r="460" spans="12:18" ht="15">
      <c r="L460" s="18"/>
      <c r="M460" s="18"/>
      <c r="O460" s="53"/>
      <c r="Q460" s="196"/>
      <c r="R460" s="196"/>
    </row>
    <row r="461" spans="12:18" ht="15">
      <c r="L461" s="18"/>
      <c r="M461" s="18"/>
      <c r="Q461" s="196"/>
      <c r="R461" s="196"/>
    </row>
    <row r="462" spans="12:13" ht="15">
      <c r="L462" s="18"/>
      <c r="M462" s="18"/>
    </row>
    <row r="463" spans="12:18" ht="15">
      <c r="L463" s="18"/>
      <c r="M463" s="18"/>
      <c r="Q463" s="196"/>
      <c r="R463" s="196"/>
    </row>
    <row r="464" spans="12:18" ht="15">
      <c r="L464" s="18"/>
      <c r="M464" s="18"/>
      <c r="Q464" s="196"/>
      <c r="R464" s="196"/>
    </row>
    <row r="465" spans="12:18" ht="15">
      <c r="L465" s="18"/>
      <c r="M465" s="18"/>
      <c r="Q465" s="196"/>
      <c r="R465" s="196"/>
    </row>
    <row r="466" spans="12:18" ht="15">
      <c r="L466" s="18"/>
      <c r="M466" s="18"/>
      <c r="Q466" s="196"/>
      <c r="R466" s="196"/>
    </row>
    <row r="467" spans="12:18" ht="15">
      <c r="L467" s="18"/>
      <c r="M467" s="18"/>
      <c r="Q467" s="196"/>
      <c r="R467" s="196"/>
    </row>
    <row r="468" spans="12:18" ht="15">
      <c r="L468" s="18"/>
      <c r="M468" s="18"/>
      <c r="Q468" s="196"/>
      <c r="R468" s="196"/>
    </row>
    <row r="469" spans="12:18" ht="15">
      <c r="L469" s="18"/>
      <c r="M469" s="18"/>
      <c r="Q469" s="196"/>
      <c r="R469" s="196"/>
    </row>
    <row r="470" spans="12:18" ht="15">
      <c r="L470" s="18"/>
      <c r="M470" s="18"/>
      <c r="Q470" s="196"/>
      <c r="R470" s="196"/>
    </row>
    <row r="471" spans="12:18" ht="15">
      <c r="L471" s="18"/>
      <c r="M471" s="18"/>
      <c r="Q471" s="196"/>
      <c r="R471" s="196"/>
    </row>
    <row r="472" spans="12:18" ht="15">
      <c r="L472" s="18"/>
      <c r="M472" s="18"/>
      <c r="Q472" s="196"/>
      <c r="R472" s="196"/>
    </row>
    <row r="473" spans="12:18" ht="15">
      <c r="L473" s="18"/>
      <c r="M473" s="18"/>
      <c r="O473" s="30"/>
      <c r="Q473" s="316"/>
      <c r="R473" s="316"/>
    </row>
    <row r="474" spans="12:13" ht="15">
      <c r="L474" s="18"/>
      <c r="M474" s="18"/>
    </row>
    <row r="475" spans="12:13" ht="15">
      <c r="L475" s="18"/>
      <c r="M475" s="18"/>
    </row>
    <row r="476" spans="12:13" ht="15">
      <c r="L476" s="18"/>
      <c r="M476" s="18"/>
    </row>
    <row r="477" spans="12:13" ht="15">
      <c r="L477" s="18"/>
      <c r="M477" s="18"/>
    </row>
    <row r="478" spans="12:13" ht="15">
      <c r="L478" s="18"/>
      <c r="M478" s="18"/>
    </row>
    <row r="479" spans="12:13" ht="15">
      <c r="L479" s="18"/>
      <c r="M479" s="18"/>
    </row>
    <row r="480" spans="12:13" ht="15">
      <c r="L480" s="18"/>
      <c r="M480" s="18"/>
    </row>
    <row r="481" spans="12:13" ht="15">
      <c r="L481" s="18"/>
      <c r="M481" s="18"/>
    </row>
    <row r="482" spans="12:13" ht="15">
      <c r="L482" s="18"/>
      <c r="M482" s="18"/>
    </row>
    <row r="483" spans="12:13" ht="15">
      <c r="L483" s="18"/>
      <c r="M483" s="18"/>
    </row>
    <row r="484" spans="12:13" ht="15">
      <c r="L484" s="18"/>
      <c r="M484" s="18"/>
    </row>
    <row r="485" spans="12:13" ht="15">
      <c r="L485" s="18"/>
      <c r="M485" s="18"/>
    </row>
    <row r="486" spans="12:13" ht="15">
      <c r="L486" s="18"/>
      <c r="M486" s="18"/>
    </row>
    <row r="487" spans="12:13" ht="15">
      <c r="L487" s="18"/>
      <c r="M487" s="18"/>
    </row>
    <row r="488" spans="12:13" ht="15">
      <c r="L488" s="18"/>
      <c r="M488" s="18"/>
    </row>
    <row r="489" spans="12:13" ht="15">
      <c r="L489" s="18"/>
      <c r="M489" s="18"/>
    </row>
    <row r="490" spans="12:13" ht="15">
      <c r="L490" s="18"/>
      <c r="M490" s="18"/>
    </row>
    <row r="491" spans="12:13" ht="15">
      <c r="L491" s="18"/>
      <c r="M491" s="18"/>
    </row>
    <row r="492" spans="12:13" ht="15">
      <c r="L492" s="18"/>
      <c r="M492" s="18"/>
    </row>
    <row r="493" spans="12:13" ht="15">
      <c r="L493" s="18"/>
      <c r="M493" s="18"/>
    </row>
    <row r="494" spans="12:13" ht="15">
      <c r="L494" s="18"/>
      <c r="M494" s="18"/>
    </row>
    <row r="495" spans="12:13" ht="15">
      <c r="L495" s="18"/>
      <c r="M495" s="18"/>
    </row>
    <row r="496" spans="12:13" ht="15">
      <c r="L496" s="18"/>
      <c r="M496" s="18"/>
    </row>
    <row r="497" spans="12:13" ht="15">
      <c r="L497" s="18"/>
      <c r="M497" s="18"/>
    </row>
    <row r="498" spans="12:13" ht="15">
      <c r="L498" s="18"/>
      <c r="M498" s="18"/>
    </row>
    <row r="499" spans="12:13" ht="15">
      <c r="L499" s="18"/>
      <c r="M499" s="18"/>
    </row>
    <row r="500" spans="12:13" ht="15">
      <c r="L500" s="18"/>
      <c r="M500" s="18"/>
    </row>
    <row r="501" spans="12:13" ht="15">
      <c r="L501" s="18"/>
      <c r="M501" s="18"/>
    </row>
    <row r="502" spans="12:13" ht="15">
      <c r="L502" s="18"/>
      <c r="M502" s="18"/>
    </row>
    <row r="503" spans="12:13" ht="15">
      <c r="L503" s="18"/>
      <c r="M503" s="18"/>
    </row>
    <row r="504" spans="12:13" ht="15">
      <c r="L504" s="18"/>
      <c r="M504" s="18"/>
    </row>
    <row r="505" spans="12:13" ht="15">
      <c r="L505" s="18"/>
      <c r="M505" s="18"/>
    </row>
    <row r="506" spans="12:13" ht="15">
      <c r="L506" s="18"/>
      <c r="M506" s="18"/>
    </row>
    <row r="507" spans="12:13" ht="15">
      <c r="L507" s="18"/>
      <c r="M507" s="18"/>
    </row>
    <row r="508" spans="12:13" ht="15">
      <c r="L508" s="18"/>
      <c r="M508" s="18"/>
    </row>
    <row r="509" spans="12:13" ht="15">
      <c r="L509" s="18"/>
      <c r="M509" s="18"/>
    </row>
    <row r="510" spans="12:13" ht="15">
      <c r="L510" s="18"/>
      <c r="M510" s="18"/>
    </row>
    <row r="511" spans="12:13" ht="15">
      <c r="L511" s="18"/>
      <c r="M511" s="18"/>
    </row>
    <row r="512" spans="12:13" ht="15">
      <c r="L512" s="18"/>
      <c r="M512" s="18"/>
    </row>
    <row r="513" spans="12:13" ht="15">
      <c r="L513" s="18"/>
      <c r="M513" s="18"/>
    </row>
    <row r="514" spans="12:13" ht="15">
      <c r="L514" s="18"/>
      <c r="M514" s="18"/>
    </row>
  </sheetData>
  <sheetProtection/>
  <mergeCells count="12">
    <mergeCell ref="M9:N9"/>
    <mergeCell ref="M49:N49"/>
    <mergeCell ref="M141:N141"/>
    <mergeCell ref="M223:N223"/>
    <mergeCell ref="B355:K359"/>
    <mergeCell ref="M256:N256"/>
    <mergeCell ref="K9:L9"/>
    <mergeCell ref="K49:L49"/>
    <mergeCell ref="K141:L141"/>
    <mergeCell ref="B192:C192"/>
    <mergeCell ref="K256:L256"/>
    <mergeCell ref="K223:L223"/>
  </mergeCells>
  <hyperlinks>
    <hyperlink ref="A88" r:id="rId1" display="&amp;^%$#@*"/>
    <hyperlink ref="A136" r:id="rId2" display="&amp;^%$#@*"/>
    <hyperlink ref="A289" r:id="rId3" display="&amp;^%$#@*"/>
    <hyperlink ref="A292" r:id="rId4" display="&amp;^%$#@*"/>
  </hyperlinks>
  <printOptions/>
  <pageMargins left="0.826771653543307" right="0.393700787401575" top="0.25" bottom="0.748031496062992" header="0" footer="0.31496062992126"/>
  <pageSetup horizontalDpi="600" verticalDpi="600" orientation="portrait" scale="80" r:id="rId6"/>
  <headerFooter>
    <oddFooter>&amp;C&amp;A&amp;RPágina &amp;P</oddFooter>
  </headerFooter>
  <rowBreaks count="3" manualBreakCount="3">
    <brk id="86" max="12" man="1"/>
    <brk id="172" max="12" man="1"/>
    <brk id="254" max="12" man="1"/>
  </rowBreaks>
  <ignoredErrors>
    <ignoredError sqref="I230" formulaRange="1"/>
  </ignoredErrors>
  <drawing r:id="rId5"/>
</worksheet>
</file>

<file path=xl/worksheets/sheet9.xml><?xml version="1.0" encoding="utf-8"?>
<worksheet xmlns="http://schemas.openxmlformats.org/spreadsheetml/2006/main" xmlns:r="http://schemas.openxmlformats.org/officeDocument/2006/relationships">
  <dimension ref="A1:J66"/>
  <sheetViews>
    <sheetView zoomScale="130" zoomScaleNormal="130" zoomScalePageLayoutView="0" workbookViewId="0" topLeftCell="A42">
      <selection activeCell="F58" sqref="F58"/>
    </sheetView>
  </sheetViews>
  <sheetFormatPr defaultColWidth="11.421875" defaultRowHeight="15"/>
  <cols>
    <col min="6" max="6" width="20.00390625" style="0" customWidth="1"/>
    <col min="7" max="7" width="16.00390625" style="0" customWidth="1"/>
    <col min="10" max="10" width="13.8515625" style="0" bestFit="1" customWidth="1"/>
  </cols>
  <sheetData>
    <row r="1" spans="6:10" ht="15">
      <c r="F1" s="18"/>
      <c r="J1" s="251"/>
    </row>
    <row r="2" spans="2:5" ht="18.75">
      <c r="B2" s="33" t="s">
        <v>548</v>
      </c>
      <c r="C2" s="32"/>
      <c r="D2" s="32"/>
      <c r="E2" s="32"/>
    </row>
    <row r="3" spans="1:6" ht="18.75">
      <c r="A3" s="46" t="s">
        <v>929</v>
      </c>
      <c r="B3" s="46"/>
      <c r="C3" s="46"/>
      <c r="D3" s="46"/>
      <c r="E3" s="46"/>
      <c r="F3" s="46"/>
    </row>
    <row r="4" spans="1:6" ht="18.75">
      <c r="A4" s="46"/>
      <c r="B4" s="502">
        <v>2021</v>
      </c>
      <c r="C4" s="502"/>
      <c r="D4" s="502"/>
      <c r="E4" s="502"/>
      <c r="F4" s="502"/>
    </row>
    <row r="5" ht="15">
      <c r="F5" s="18"/>
    </row>
    <row r="6" spans="1:6" ht="18.75">
      <c r="A6" s="34"/>
      <c r="B6" s="33"/>
      <c r="C6" s="32"/>
      <c r="D6" s="32"/>
      <c r="E6" s="32"/>
      <c r="F6" s="33"/>
    </row>
    <row r="7" spans="2:7" ht="18.75">
      <c r="B7" s="32"/>
      <c r="C7" s="32"/>
      <c r="D7" s="32"/>
      <c r="E7" s="32"/>
      <c r="F7" s="63" t="s">
        <v>535</v>
      </c>
      <c r="G7" s="64"/>
    </row>
    <row r="8" spans="2:6" ht="18.75">
      <c r="B8" s="35" t="s">
        <v>704</v>
      </c>
      <c r="C8" s="32"/>
      <c r="D8" s="32"/>
      <c r="E8" s="32"/>
      <c r="F8" s="62">
        <v>2021</v>
      </c>
    </row>
    <row r="9" spans="2:8" ht="15">
      <c r="B9" s="32" t="s">
        <v>540</v>
      </c>
      <c r="C9" s="32"/>
      <c r="D9" s="32"/>
      <c r="E9" s="32"/>
      <c r="F9" s="54">
        <f>413012388.28-5445</f>
        <v>413006943.28</v>
      </c>
      <c r="H9" s="18"/>
    </row>
    <row r="10" spans="2:6" ht="15">
      <c r="B10" s="32" t="s">
        <v>536</v>
      </c>
      <c r="C10" s="32"/>
      <c r="D10" s="32"/>
      <c r="E10" s="32"/>
      <c r="F10" s="54">
        <v>5445</v>
      </c>
    </row>
    <row r="11" spans="2:6" ht="15">
      <c r="B11" s="32" t="s">
        <v>615</v>
      </c>
      <c r="C11" s="32"/>
      <c r="D11" s="32"/>
      <c r="E11" s="32"/>
      <c r="F11" s="253">
        <v>-1359.1</v>
      </c>
    </row>
    <row r="12" spans="2:6" ht="15">
      <c r="B12" s="32" t="s">
        <v>539</v>
      </c>
      <c r="C12" s="32"/>
      <c r="D12" s="32"/>
      <c r="E12" s="32"/>
      <c r="F12" s="252">
        <v>-558240</v>
      </c>
    </row>
    <row r="13" spans="2:6" ht="15.75">
      <c r="B13" s="34" t="s">
        <v>705</v>
      </c>
      <c r="C13" s="32"/>
      <c r="D13" s="32"/>
      <c r="E13" s="32"/>
      <c r="F13" s="52">
        <f>SUM(F9:F12)</f>
        <v>412452789.17999995</v>
      </c>
    </row>
    <row r="14" spans="2:6" ht="15">
      <c r="B14" s="32"/>
      <c r="C14" s="32"/>
      <c r="D14" s="32"/>
      <c r="E14" s="32"/>
      <c r="F14" s="18"/>
    </row>
    <row r="15" spans="2:6" ht="15">
      <c r="B15" s="32" t="s">
        <v>541</v>
      </c>
      <c r="C15" s="32"/>
      <c r="D15" s="32"/>
      <c r="E15" s="32"/>
      <c r="F15" s="18"/>
    </row>
    <row r="16" spans="2:6" ht="15">
      <c r="B16" s="32"/>
      <c r="C16" s="32"/>
      <c r="D16" s="32"/>
      <c r="E16" s="32"/>
      <c r="F16" s="18"/>
    </row>
    <row r="17" spans="2:6" ht="15">
      <c r="B17" s="32"/>
      <c r="C17" s="32"/>
      <c r="D17" s="32"/>
      <c r="E17" s="32"/>
      <c r="F17" s="18"/>
    </row>
    <row r="18" spans="2:7" ht="18.75">
      <c r="B18" s="32"/>
      <c r="C18" s="32"/>
      <c r="D18" s="32"/>
      <c r="E18" s="32"/>
      <c r="F18" s="63" t="s">
        <v>535</v>
      </c>
      <c r="G18" s="64"/>
    </row>
    <row r="19" spans="2:6" ht="18.75">
      <c r="B19" s="35" t="s">
        <v>542</v>
      </c>
      <c r="C19" s="32"/>
      <c r="D19" s="32"/>
      <c r="E19" s="32"/>
      <c r="F19" s="62">
        <v>2021</v>
      </c>
    </row>
    <row r="20" spans="2:6" ht="15">
      <c r="B20" s="32" t="s">
        <v>540</v>
      </c>
      <c r="C20" s="32"/>
      <c r="D20" s="32"/>
      <c r="E20" s="32"/>
      <c r="F20" s="54">
        <v>23794945</v>
      </c>
    </row>
    <row r="21" spans="2:6" ht="15">
      <c r="B21" s="32" t="s">
        <v>536</v>
      </c>
      <c r="C21" s="32"/>
      <c r="D21" s="32"/>
      <c r="E21" s="32"/>
      <c r="F21" s="54">
        <v>68</v>
      </c>
    </row>
    <row r="22" spans="2:6" ht="15">
      <c r="B22" s="32" t="s">
        <v>615</v>
      </c>
      <c r="C22" s="32"/>
      <c r="D22" s="32"/>
      <c r="E22" s="32"/>
      <c r="F22" s="54">
        <v>0.3</v>
      </c>
    </row>
    <row r="23" spans="2:6" ht="15" hidden="1">
      <c r="B23" s="32" t="s">
        <v>538</v>
      </c>
      <c r="C23" s="32"/>
      <c r="D23" s="32"/>
      <c r="E23" s="32"/>
      <c r="F23" s="54"/>
    </row>
    <row r="24" spans="2:6" ht="15">
      <c r="B24" s="32" t="s">
        <v>539</v>
      </c>
      <c r="C24" s="32"/>
      <c r="D24" s="32"/>
      <c r="E24" s="32"/>
      <c r="F24" s="252">
        <v>-4755</v>
      </c>
    </row>
    <row r="25" spans="2:6" ht="15.75">
      <c r="B25" s="34" t="s">
        <v>544</v>
      </c>
      <c r="C25" s="32"/>
      <c r="D25" s="32"/>
      <c r="E25" s="32"/>
      <c r="F25" s="52">
        <f>SUM(F20:F24)</f>
        <v>23790258.3</v>
      </c>
    </row>
    <row r="26" spans="2:6" ht="15.75">
      <c r="B26" s="34"/>
      <c r="C26" s="32"/>
      <c r="D26" s="32"/>
      <c r="E26" s="32"/>
      <c r="F26" s="52"/>
    </row>
    <row r="27" spans="2:6" ht="15.75">
      <c r="B27" s="34"/>
      <c r="C27" s="32"/>
      <c r="D27" s="32"/>
      <c r="E27" s="32"/>
      <c r="F27" s="52"/>
    </row>
    <row r="28" spans="2:6" ht="15.75">
      <c r="B28" s="34"/>
      <c r="C28" s="32"/>
      <c r="D28" s="32"/>
      <c r="E28" s="32"/>
      <c r="F28" s="52"/>
    </row>
    <row r="29" spans="2:7" ht="18.75">
      <c r="B29" s="32"/>
      <c r="C29" s="32"/>
      <c r="D29" s="32"/>
      <c r="E29" s="32"/>
      <c r="F29" s="63" t="s">
        <v>535</v>
      </c>
      <c r="G29" s="64"/>
    </row>
    <row r="30" spans="2:6" ht="18.75">
      <c r="B30" s="35" t="s">
        <v>545</v>
      </c>
      <c r="C30" s="32"/>
      <c r="D30" s="32"/>
      <c r="E30" s="32"/>
      <c r="F30" s="62">
        <v>2021</v>
      </c>
    </row>
    <row r="31" spans="2:6" ht="15">
      <c r="B31" s="32" t="s">
        <v>540</v>
      </c>
      <c r="C31" s="32"/>
      <c r="D31" s="32"/>
      <c r="E31" s="32"/>
      <c r="F31" s="54">
        <v>19363440</v>
      </c>
    </row>
    <row r="32" spans="2:6" ht="15" hidden="1">
      <c r="B32" s="32" t="s">
        <v>536</v>
      </c>
      <c r="C32" s="32"/>
      <c r="D32" s="32"/>
      <c r="E32" s="32"/>
      <c r="F32" s="54">
        <v>0</v>
      </c>
    </row>
    <row r="33" spans="2:6" ht="15">
      <c r="B33" s="32" t="s">
        <v>615</v>
      </c>
      <c r="C33" s="32"/>
      <c r="D33" s="32"/>
      <c r="E33" s="32"/>
      <c r="F33" s="54">
        <v>862</v>
      </c>
    </row>
    <row r="34" spans="2:6" ht="15" hidden="1">
      <c r="B34" s="32" t="s">
        <v>538</v>
      </c>
      <c r="C34" s="32"/>
      <c r="D34" s="32"/>
      <c r="E34" s="32"/>
      <c r="F34" s="54"/>
    </row>
    <row r="35" spans="2:6" ht="15">
      <c r="B35" s="32" t="s">
        <v>539</v>
      </c>
      <c r="C35" s="32"/>
      <c r="D35" s="32"/>
      <c r="E35" s="32"/>
      <c r="F35" s="55">
        <v>0</v>
      </c>
    </row>
    <row r="36" spans="2:6" ht="15.75">
      <c r="B36" s="34" t="s">
        <v>544</v>
      </c>
      <c r="C36" s="32"/>
      <c r="D36" s="32"/>
      <c r="E36" s="32"/>
      <c r="F36" s="52">
        <f>SUM(F31:F35)</f>
        <v>19364302</v>
      </c>
    </row>
    <row r="37" spans="2:6" ht="15.75">
      <c r="B37" s="34"/>
      <c r="C37" s="32"/>
      <c r="D37" s="32"/>
      <c r="E37" s="32"/>
      <c r="F37" s="52"/>
    </row>
    <row r="38" spans="2:6" ht="15.75">
      <c r="B38" s="34"/>
      <c r="C38" s="32"/>
      <c r="D38" s="32"/>
      <c r="E38" s="32"/>
      <c r="F38" s="52"/>
    </row>
    <row r="39" spans="2:6" ht="15.75">
      <c r="B39" s="34"/>
      <c r="C39" s="32"/>
      <c r="D39" s="32"/>
      <c r="E39" s="32"/>
      <c r="F39" s="52"/>
    </row>
    <row r="40" spans="2:7" ht="18.75">
      <c r="B40" s="32"/>
      <c r="C40" s="32"/>
      <c r="D40" s="32"/>
      <c r="E40" s="32"/>
      <c r="F40" s="63" t="s">
        <v>535</v>
      </c>
      <c r="G40" s="64"/>
    </row>
    <row r="41" spans="2:6" ht="18.75">
      <c r="B41" s="35" t="s">
        <v>546</v>
      </c>
      <c r="C41" s="32"/>
      <c r="D41" s="32"/>
      <c r="E41" s="32"/>
      <c r="F41" s="62">
        <v>2021</v>
      </c>
    </row>
    <row r="42" spans="2:6" ht="15">
      <c r="B42" s="32" t="s">
        <v>540</v>
      </c>
      <c r="C42" s="32"/>
      <c r="D42" s="32"/>
      <c r="E42" s="32"/>
      <c r="F42" s="54">
        <v>7241188</v>
      </c>
    </row>
    <row r="43" spans="2:6" ht="15" hidden="1">
      <c r="B43" s="32" t="s">
        <v>536</v>
      </c>
      <c r="C43" s="32"/>
      <c r="D43" s="32"/>
      <c r="E43" s="32"/>
      <c r="F43" s="54">
        <v>0</v>
      </c>
    </row>
    <row r="44" spans="2:6" ht="15" hidden="1">
      <c r="B44" s="32" t="s">
        <v>537</v>
      </c>
      <c r="C44" s="32"/>
      <c r="D44" s="32"/>
      <c r="E44" s="32"/>
      <c r="F44" s="54">
        <v>0</v>
      </c>
    </row>
    <row r="45" spans="2:6" ht="15">
      <c r="B45" s="32" t="s">
        <v>615</v>
      </c>
      <c r="C45" s="32"/>
      <c r="D45" s="32"/>
      <c r="E45" s="32"/>
      <c r="F45" s="55"/>
    </row>
    <row r="46" spans="2:6" ht="15" hidden="1">
      <c r="B46" s="32" t="s">
        <v>538</v>
      </c>
      <c r="C46" s="32"/>
      <c r="D46" s="32"/>
      <c r="E46" s="32"/>
      <c r="F46" s="18"/>
    </row>
    <row r="47" spans="2:6" ht="15" hidden="1">
      <c r="B47" s="32" t="s">
        <v>543</v>
      </c>
      <c r="C47" s="32"/>
      <c r="D47" s="32"/>
      <c r="E47" s="32"/>
      <c r="F47" s="36">
        <v>0</v>
      </c>
    </row>
    <row r="48" spans="2:6" ht="15.75">
      <c r="B48" s="34" t="s">
        <v>547</v>
      </c>
      <c r="C48" s="32"/>
      <c r="D48" s="32"/>
      <c r="E48" s="32"/>
      <c r="F48" s="52">
        <f>SUM(F42:F47)</f>
        <v>7241188</v>
      </c>
    </row>
    <row r="49" ht="15">
      <c r="F49" s="18"/>
    </row>
    <row r="50" ht="15">
      <c r="F50" s="18"/>
    </row>
    <row r="51" spans="2:5" ht="18.75">
      <c r="B51" s="33" t="s">
        <v>548</v>
      </c>
      <c r="C51" s="32"/>
      <c r="D51" s="32"/>
      <c r="E51" s="32"/>
    </row>
    <row r="52" spans="2:6" ht="18.75">
      <c r="B52" s="46"/>
      <c r="C52" s="46" t="s">
        <v>935</v>
      </c>
      <c r="D52" s="46"/>
      <c r="E52" s="46"/>
      <c r="F52" s="46"/>
    </row>
    <row r="53" spans="2:6" ht="18.75">
      <c r="B53" s="502">
        <v>2021</v>
      </c>
      <c r="C53" s="502"/>
      <c r="D53" s="502"/>
      <c r="E53" s="502"/>
      <c r="F53" s="502"/>
    </row>
    <row r="55" spans="1:6" ht="18.75">
      <c r="A55" s="34"/>
      <c r="B55" s="33"/>
      <c r="C55" s="32"/>
      <c r="D55" s="32"/>
      <c r="E55" s="32"/>
      <c r="F55" s="33"/>
    </row>
    <row r="56" spans="2:7" ht="18.75">
      <c r="B56" s="32"/>
      <c r="C56" s="32"/>
      <c r="D56" s="32"/>
      <c r="E56" s="32"/>
      <c r="F56" s="63" t="s">
        <v>535</v>
      </c>
      <c r="G56" s="64"/>
    </row>
    <row r="57" spans="2:6" ht="18.75">
      <c r="B57" s="35" t="s">
        <v>934</v>
      </c>
      <c r="C57" s="32"/>
      <c r="D57" s="32"/>
      <c r="E57" s="32"/>
      <c r="F57" s="62">
        <v>2021</v>
      </c>
    </row>
    <row r="58" spans="2:6" ht="15">
      <c r="B58" s="32" t="s">
        <v>540</v>
      </c>
      <c r="C58" s="32"/>
      <c r="D58" s="32"/>
      <c r="E58" s="32"/>
      <c r="F58" s="18">
        <f>+F9+F20+F31+F42</f>
        <v>463406516.28</v>
      </c>
    </row>
    <row r="59" spans="2:6" ht="15">
      <c r="B59" s="32" t="s">
        <v>536</v>
      </c>
      <c r="C59" s="32"/>
      <c r="D59" s="32"/>
      <c r="E59" s="32"/>
      <c r="F59" s="18">
        <f>+F10+F21</f>
        <v>5513</v>
      </c>
    </row>
    <row r="60" spans="2:6" ht="15">
      <c r="B60" s="32" t="s">
        <v>615</v>
      </c>
      <c r="C60" s="32"/>
      <c r="D60" s="32"/>
      <c r="E60" s="32"/>
      <c r="F60" s="248">
        <f>+F11+F22+F33+F45</f>
        <v>-496.79999999999995</v>
      </c>
    </row>
    <row r="61" spans="2:6" ht="15">
      <c r="B61" s="32" t="s">
        <v>539</v>
      </c>
      <c r="C61" s="32"/>
      <c r="D61" s="32"/>
      <c r="E61" s="32"/>
      <c r="F61" s="247">
        <f>+F12+F24+F35</f>
        <v>-562995</v>
      </c>
    </row>
    <row r="62" spans="2:6" ht="15.75">
      <c r="B62" s="34" t="s">
        <v>930</v>
      </c>
      <c r="C62" s="32"/>
      <c r="D62" s="32"/>
      <c r="E62" s="32"/>
      <c r="F62" s="52">
        <f>SUM(F58:F61)</f>
        <v>462848537.47999996</v>
      </c>
    </row>
    <row r="63" spans="2:6" ht="18.75">
      <c r="B63" s="35" t="s">
        <v>931</v>
      </c>
      <c r="C63" s="32"/>
      <c r="D63" s="32"/>
      <c r="E63" s="32"/>
      <c r="F63" s="18"/>
    </row>
    <row r="64" spans="2:7" ht="15">
      <c r="B64" s="32" t="s">
        <v>932</v>
      </c>
      <c r="C64" s="32"/>
      <c r="D64" s="32"/>
      <c r="E64" s="32"/>
      <c r="F64" s="461">
        <f>+'Estado Rendimiento Financiero'!E11</f>
        <v>64422589</v>
      </c>
      <c r="G64" s="5"/>
    </row>
    <row r="65" spans="2:6" ht="15">
      <c r="B65" s="459" t="s">
        <v>529</v>
      </c>
      <c r="F65" s="462">
        <f>+'Estado Rendimiento Financiero'!E12</f>
        <v>613168.43</v>
      </c>
    </row>
    <row r="66" spans="2:6" ht="15.75">
      <c r="B66" s="458" t="s">
        <v>933</v>
      </c>
      <c r="C66" s="460"/>
      <c r="D66" s="460"/>
      <c r="E66" s="460"/>
      <c r="F66" s="457">
        <f>+F62+F64+F65</f>
        <v>527884294.90999997</v>
      </c>
    </row>
  </sheetData>
  <sheetProtection/>
  <mergeCells count="2">
    <mergeCell ref="B4:F4"/>
    <mergeCell ref="B53:F53"/>
  </mergeCells>
  <printOptions/>
  <pageMargins left="0.7" right="0.7" top="0.75" bottom="0.75" header="0.3" footer="0.3"/>
  <pageSetup horizontalDpi="600" verticalDpi="600" orientation="portrait" scale="85" r:id="rId1"/>
  <rowBreaks count="1" manualBreakCount="1">
    <brk id="49" max="9" man="1"/>
  </rowBreaks>
  <ignoredErrors>
    <ignoredError sqref="F4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Melbi Santos</dc:creator>
  <cp:keywords/>
  <dc:description/>
  <cp:lastModifiedBy>Nelly María Sanchez Nuñez</cp:lastModifiedBy>
  <cp:lastPrinted>2022-02-14T18:42:14Z</cp:lastPrinted>
  <dcterms:created xsi:type="dcterms:W3CDTF">2013-01-30T15:16:21Z</dcterms:created>
  <dcterms:modified xsi:type="dcterms:W3CDTF">2022-02-14T18:44:14Z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